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July 1, Fee schedules update\JULY 1, 2023\JULY 1-2023 FS\"/>
    </mc:Choice>
  </mc:AlternateContent>
  <xr:revisionPtr revIDLastSave="0" documentId="8_{BB9C3A1C-0CBC-4B72-96D2-8D8E47C9B0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_202308221542" sheetId="1" r:id="rId1"/>
  </sheets>
  <definedNames>
    <definedName name="_xlnm._FilterDatabase" localSheetId="0" hidden="1">'01_202308221542'!$G$1:$G$2626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B9" i="1"/>
  <c r="G9" i="1"/>
  <c r="A10" i="1"/>
  <c r="B10" i="1"/>
  <c r="G10" i="1"/>
  <c r="A11" i="1"/>
  <c r="B11" i="1"/>
  <c r="G11" i="1"/>
  <c r="A12" i="1"/>
  <c r="B12" i="1"/>
  <c r="G12" i="1"/>
  <c r="A13" i="1"/>
  <c r="B13" i="1"/>
  <c r="G13" i="1"/>
  <c r="A14" i="1"/>
  <c r="B14" i="1"/>
  <c r="G14" i="1"/>
  <c r="A15" i="1"/>
  <c r="B15" i="1"/>
  <c r="G15" i="1"/>
  <c r="A16" i="1"/>
  <c r="B16" i="1"/>
  <c r="G16" i="1"/>
  <c r="A17" i="1"/>
  <c r="B17" i="1"/>
  <c r="G17" i="1"/>
  <c r="A18" i="1"/>
  <c r="B18" i="1"/>
  <c r="G18" i="1"/>
  <c r="A19" i="1"/>
  <c r="B19" i="1"/>
  <c r="G19" i="1"/>
  <c r="A20" i="1"/>
  <c r="B20" i="1"/>
  <c r="G20" i="1"/>
  <c r="A21" i="1"/>
  <c r="B21" i="1"/>
  <c r="G21" i="1"/>
  <c r="A22" i="1"/>
  <c r="B22" i="1"/>
  <c r="G22" i="1"/>
  <c r="A23" i="1"/>
  <c r="B23" i="1"/>
  <c r="G23" i="1"/>
  <c r="A24" i="1"/>
  <c r="B24" i="1"/>
  <c r="G24" i="1"/>
  <c r="A25" i="1"/>
  <c r="B25" i="1"/>
  <c r="G25" i="1"/>
  <c r="A26" i="1"/>
  <c r="B26" i="1"/>
  <c r="G26" i="1"/>
  <c r="A27" i="1"/>
  <c r="B27" i="1"/>
  <c r="G27" i="1"/>
  <c r="A28" i="1"/>
  <c r="B28" i="1"/>
  <c r="G28" i="1"/>
  <c r="A29" i="1"/>
  <c r="B29" i="1"/>
  <c r="G29" i="1"/>
  <c r="A30" i="1"/>
  <c r="B30" i="1"/>
  <c r="G30" i="1"/>
  <c r="A31" i="1"/>
  <c r="B31" i="1"/>
  <c r="G31" i="1"/>
  <c r="A32" i="1"/>
  <c r="B32" i="1"/>
  <c r="G32" i="1"/>
  <c r="A33" i="1"/>
  <c r="B33" i="1"/>
  <c r="G33" i="1"/>
  <c r="A34" i="1"/>
  <c r="B34" i="1"/>
  <c r="G34" i="1"/>
  <c r="A35" i="1"/>
  <c r="B35" i="1"/>
  <c r="G35" i="1"/>
  <c r="A36" i="1"/>
  <c r="B36" i="1"/>
  <c r="G36" i="1"/>
  <c r="A37" i="1"/>
  <c r="B37" i="1"/>
  <c r="G37" i="1"/>
  <c r="A38" i="1"/>
  <c r="B38" i="1"/>
  <c r="G38" i="1"/>
  <c r="A39" i="1"/>
  <c r="B39" i="1"/>
  <c r="G39" i="1"/>
  <c r="A40" i="1"/>
  <c r="B40" i="1"/>
  <c r="G40" i="1"/>
  <c r="A41" i="1"/>
  <c r="B41" i="1"/>
  <c r="G41" i="1"/>
  <c r="A42" i="1"/>
  <c r="B42" i="1"/>
  <c r="G42" i="1"/>
  <c r="A43" i="1"/>
  <c r="B43" i="1"/>
  <c r="G43" i="1"/>
  <c r="A44" i="1"/>
  <c r="B44" i="1"/>
  <c r="G44" i="1"/>
  <c r="A45" i="1"/>
  <c r="B45" i="1"/>
  <c r="G45" i="1"/>
  <c r="A46" i="1"/>
  <c r="B46" i="1"/>
  <c r="G46" i="1"/>
  <c r="A47" i="1"/>
  <c r="B47" i="1"/>
  <c r="G47" i="1"/>
  <c r="A48" i="1"/>
  <c r="B48" i="1"/>
  <c r="G48" i="1"/>
  <c r="A49" i="1"/>
  <c r="B49" i="1"/>
  <c r="G49" i="1"/>
  <c r="A50" i="1"/>
  <c r="B50" i="1"/>
  <c r="G50" i="1"/>
  <c r="A51" i="1"/>
  <c r="B51" i="1"/>
  <c r="G51" i="1"/>
  <c r="A52" i="1"/>
  <c r="B52" i="1"/>
  <c r="G52" i="1"/>
  <c r="A53" i="1"/>
  <c r="B53" i="1"/>
  <c r="G53" i="1"/>
  <c r="A54" i="1"/>
  <c r="B54" i="1"/>
  <c r="G54" i="1"/>
  <c r="A55" i="1"/>
  <c r="B55" i="1"/>
  <c r="G55" i="1"/>
  <c r="A56" i="1"/>
  <c r="B56" i="1"/>
  <c r="G56" i="1"/>
  <c r="A57" i="1"/>
  <c r="B57" i="1"/>
  <c r="G57" i="1"/>
  <c r="A58" i="1"/>
  <c r="B58" i="1"/>
  <c r="G58" i="1"/>
  <c r="A59" i="1"/>
  <c r="B59" i="1"/>
  <c r="G59" i="1"/>
  <c r="A60" i="1"/>
  <c r="B60" i="1"/>
  <c r="G60" i="1"/>
  <c r="A61" i="1"/>
  <c r="B61" i="1"/>
  <c r="G61" i="1"/>
  <c r="A62" i="1"/>
  <c r="B62" i="1"/>
  <c r="G62" i="1"/>
  <c r="A63" i="1"/>
  <c r="B63" i="1"/>
  <c r="G63" i="1"/>
  <c r="A64" i="1"/>
  <c r="B64" i="1"/>
  <c r="G64" i="1"/>
  <c r="A65" i="1"/>
  <c r="B65" i="1"/>
  <c r="G65" i="1"/>
  <c r="A66" i="1"/>
  <c r="B66" i="1"/>
  <c r="G66" i="1"/>
  <c r="A67" i="1"/>
  <c r="B67" i="1"/>
  <c r="G67" i="1"/>
  <c r="A68" i="1"/>
  <c r="B68" i="1"/>
  <c r="G68" i="1"/>
  <c r="A69" i="1"/>
  <c r="B69" i="1"/>
  <c r="G69" i="1"/>
  <c r="A70" i="1"/>
  <c r="B70" i="1"/>
  <c r="G70" i="1"/>
  <c r="A71" i="1"/>
  <c r="B71" i="1"/>
  <c r="G71" i="1"/>
  <c r="A72" i="1"/>
  <c r="B72" i="1"/>
  <c r="G72" i="1"/>
  <c r="A73" i="1"/>
  <c r="B73" i="1"/>
  <c r="G73" i="1"/>
  <c r="A74" i="1"/>
  <c r="B74" i="1"/>
  <c r="G74" i="1"/>
  <c r="A75" i="1"/>
  <c r="B75" i="1"/>
  <c r="G75" i="1"/>
  <c r="A76" i="1"/>
  <c r="B76" i="1"/>
  <c r="G76" i="1"/>
  <c r="A77" i="1"/>
  <c r="B77" i="1"/>
  <c r="G77" i="1"/>
  <c r="A78" i="1"/>
  <c r="B78" i="1"/>
  <c r="G78" i="1"/>
  <c r="A79" i="1"/>
  <c r="B79" i="1"/>
  <c r="G79" i="1"/>
  <c r="A80" i="1"/>
  <c r="B80" i="1"/>
  <c r="G80" i="1"/>
  <c r="A81" i="1"/>
  <c r="B81" i="1"/>
  <c r="G81" i="1"/>
  <c r="A82" i="1"/>
  <c r="B82" i="1"/>
  <c r="G82" i="1"/>
  <c r="A83" i="1"/>
  <c r="B83" i="1"/>
  <c r="G83" i="1"/>
  <c r="A84" i="1"/>
  <c r="B84" i="1"/>
  <c r="G84" i="1"/>
  <c r="A85" i="1"/>
  <c r="B85" i="1"/>
  <c r="G85" i="1"/>
  <c r="A86" i="1"/>
  <c r="B86" i="1"/>
  <c r="G86" i="1"/>
  <c r="A87" i="1"/>
  <c r="B87" i="1"/>
  <c r="G87" i="1"/>
  <c r="A88" i="1"/>
  <c r="B88" i="1"/>
  <c r="G88" i="1"/>
  <c r="A89" i="1"/>
  <c r="B89" i="1"/>
  <c r="G89" i="1"/>
  <c r="A90" i="1"/>
  <c r="B90" i="1"/>
  <c r="G90" i="1"/>
  <c r="A91" i="1"/>
  <c r="B91" i="1"/>
  <c r="G91" i="1"/>
  <c r="A92" i="1"/>
  <c r="B92" i="1"/>
  <c r="G92" i="1"/>
  <c r="A93" i="1"/>
  <c r="B93" i="1"/>
  <c r="G93" i="1"/>
  <c r="A94" i="1"/>
  <c r="B94" i="1"/>
  <c r="G94" i="1"/>
  <c r="A95" i="1"/>
  <c r="B95" i="1"/>
  <c r="G95" i="1"/>
  <c r="A96" i="1"/>
  <c r="B96" i="1"/>
  <c r="G96" i="1"/>
  <c r="A97" i="1"/>
  <c r="B97" i="1"/>
  <c r="G97" i="1"/>
  <c r="A98" i="1"/>
  <c r="B98" i="1"/>
  <c r="G98" i="1"/>
  <c r="A99" i="1"/>
  <c r="B99" i="1"/>
  <c r="G99" i="1"/>
  <c r="A100" i="1"/>
  <c r="B100" i="1"/>
  <c r="G100" i="1"/>
  <c r="A101" i="1"/>
  <c r="B101" i="1"/>
  <c r="G101" i="1"/>
  <c r="A102" i="1"/>
  <c r="B102" i="1"/>
  <c r="G102" i="1"/>
  <c r="A103" i="1"/>
  <c r="B103" i="1"/>
  <c r="G103" i="1"/>
  <c r="A104" i="1"/>
  <c r="B104" i="1"/>
  <c r="G104" i="1"/>
  <c r="A105" i="1"/>
  <c r="B105" i="1"/>
  <c r="G105" i="1"/>
  <c r="A106" i="1"/>
  <c r="B106" i="1"/>
  <c r="G106" i="1"/>
  <c r="A107" i="1"/>
  <c r="B107" i="1"/>
  <c r="G107" i="1"/>
  <c r="A108" i="1"/>
  <c r="B108" i="1"/>
  <c r="G108" i="1"/>
  <c r="A109" i="1"/>
  <c r="B109" i="1"/>
  <c r="G109" i="1"/>
  <c r="A110" i="1"/>
  <c r="B110" i="1"/>
  <c r="G110" i="1"/>
  <c r="A111" i="1"/>
  <c r="B111" i="1"/>
  <c r="G111" i="1"/>
  <c r="A112" i="1"/>
  <c r="B112" i="1"/>
  <c r="G112" i="1"/>
  <c r="A113" i="1"/>
  <c r="B113" i="1"/>
  <c r="G113" i="1"/>
  <c r="A114" i="1"/>
  <c r="B114" i="1"/>
  <c r="G114" i="1"/>
  <c r="A115" i="1"/>
  <c r="B115" i="1"/>
  <c r="G115" i="1"/>
  <c r="A116" i="1"/>
  <c r="B116" i="1"/>
  <c r="G116" i="1"/>
  <c r="A117" i="1"/>
  <c r="B117" i="1"/>
  <c r="G117" i="1"/>
  <c r="A118" i="1"/>
  <c r="B118" i="1"/>
  <c r="G118" i="1"/>
  <c r="A119" i="1"/>
  <c r="B119" i="1"/>
  <c r="G119" i="1"/>
  <c r="A120" i="1"/>
  <c r="B120" i="1"/>
  <c r="G120" i="1"/>
  <c r="A121" i="1"/>
  <c r="B121" i="1"/>
  <c r="G121" i="1"/>
  <c r="A122" i="1"/>
  <c r="B122" i="1"/>
  <c r="G122" i="1"/>
  <c r="A123" i="1"/>
  <c r="B123" i="1"/>
  <c r="G123" i="1"/>
  <c r="A124" i="1"/>
  <c r="B124" i="1"/>
  <c r="G124" i="1"/>
  <c r="A125" i="1"/>
  <c r="B125" i="1"/>
  <c r="G125" i="1"/>
  <c r="A126" i="1"/>
  <c r="B126" i="1"/>
  <c r="G126" i="1"/>
  <c r="A127" i="1"/>
  <c r="B127" i="1"/>
  <c r="G127" i="1"/>
  <c r="A128" i="1"/>
  <c r="B128" i="1"/>
  <c r="G128" i="1"/>
  <c r="A129" i="1"/>
  <c r="B129" i="1"/>
  <c r="G129" i="1"/>
  <c r="A130" i="1"/>
  <c r="B130" i="1"/>
  <c r="G130" i="1"/>
  <c r="A131" i="1"/>
  <c r="B131" i="1"/>
  <c r="G131" i="1"/>
  <c r="A132" i="1"/>
  <c r="B132" i="1"/>
  <c r="G132" i="1"/>
  <c r="A133" i="1"/>
  <c r="B133" i="1"/>
  <c r="G133" i="1"/>
  <c r="A134" i="1"/>
  <c r="B134" i="1"/>
  <c r="G134" i="1"/>
  <c r="A135" i="1"/>
  <c r="B135" i="1"/>
  <c r="G135" i="1"/>
  <c r="A136" i="1"/>
  <c r="B136" i="1"/>
  <c r="G136" i="1"/>
  <c r="A137" i="1"/>
  <c r="B137" i="1"/>
  <c r="G137" i="1"/>
  <c r="A138" i="1"/>
  <c r="B138" i="1"/>
  <c r="G138" i="1"/>
  <c r="A139" i="1"/>
  <c r="B139" i="1"/>
  <c r="G139" i="1"/>
  <c r="A140" i="1"/>
  <c r="B140" i="1"/>
  <c r="G140" i="1"/>
  <c r="A141" i="1"/>
  <c r="B141" i="1"/>
  <c r="G141" i="1"/>
  <c r="A142" i="1"/>
  <c r="B142" i="1"/>
  <c r="G142" i="1"/>
  <c r="A143" i="1"/>
  <c r="B143" i="1"/>
  <c r="G143" i="1"/>
  <c r="A144" i="1"/>
  <c r="B144" i="1"/>
  <c r="G144" i="1"/>
  <c r="A145" i="1"/>
  <c r="B145" i="1"/>
  <c r="G145" i="1"/>
  <c r="A146" i="1"/>
  <c r="B146" i="1"/>
  <c r="G146" i="1"/>
  <c r="A147" i="1"/>
  <c r="B147" i="1"/>
  <c r="G147" i="1"/>
  <c r="A148" i="1"/>
  <c r="B148" i="1"/>
  <c r="G148" i="1"/>
  <c r="A149" i="1"/>
  <c r="B149" i="1"/>
  <c r="G149" i="1"/>
  <c r="A150" i="1"/>
  <c r="B150" i="1"/>
  <c r="G150" i="1"/>
  <c r="A151" i="1"/>
  <c r="B151" i="1"/>
  <c r="G151" i="1"/>
  <c r="A152" i="1"/>
  <c r="B152" i="1"/>
  <c r="G152" i="1"/>
  <c r="A153" i="1"/>
  <c r="B153" i="1"/>
  <c r="G153" i="1"/>
  <c r="A154" i="1"/>
  <c r="B154" i="1"/>
  <c r="G154" i="1"/>
  <c r="A155" i="1"/>
  <c r="B155" i="1"/>
  <c r="G155" i="1"/>
  <c r="A156" i="1"/>
  <c r="B156" i="1"/>
  <c r="G156" i="1"/>
  <c r="A157" i="1"/>
  <c r="B157" i="1"/>
  <c r="G157" i="1"/>
  <c r="A158" i="1"/>
  <c r="B158" i="1"/>
  <c r="G158" i="1"/>
  <c r="A159" i="1"/>
  <c r="B159" i="1"/>
  <c r="G159" i="1"/>
  <c r="A160" i="1"/>
  <c r="B160" i="1"/>
  <c r="G160" i="1"/>
  <c r="A161" i="1"/>
  <c r="B161" i="1"/>
  <c r="G161" i="1"/>
  <c r="A162" i="1"/>
  <c r="B162" i="1"/>
  <c r="G162" i="1"/>
  <c r="A163" i="1"/>
  <c r="B163" i="1"/>
  <c r="G163" i="1"/>
  <c r="A164" i="1"/>
  <c r="B164" i="1"/>
  <c r="G164" i="1"/>
  <c r="A165" i="1"/>
  <c r="B165" i="1"/>
  <c r="G165" i="1"/>
  <c r="A166" i="1"/>
  <c r="B166" i="1"/>
  <c r="G166" i="1"/>
  <c r="A167" i="1"/>
  <c r="B167" i="1"/>
  <c r="G167" i="1"/>
  <c r="A168" i="1"/>
  <c r="B168" i="1"/>
  <c r="G168" i="1"/>
  <c r="A169" i="1"/>
  <c r="B169" i="1"/>
  <c r="G169" i="1"/>
  <c r="A170" i="1"/>
  <c r="B170" i="1"/>
  <c r="G170" i="1"/>
  <c r="A171" i="1"/>
  <c r="B171" i="1"/>
  <c r="G171" i="1"/>
  <c r="A172" i="1"/>
  <c r="B172" i="1"/>
  <c r="G172" i="1"/>
  <c r="A173" i="1"/>
  <c r="B173" i="1"/>
  <c r="G173" i="1"/>
  <c r="A174" i="1"/>
  <c r="B174" i="1"/>
  <c r="G174" i="1"/>
  <c r="A175" i="1"/>
  <c r="B175" i="1"/>
  <c r="G175" i="1"/>
  <c r="A176" i="1"/>
  <c r="B176" i="1"/>
  <c r="G176" i="1"/>
  <c r="A177" i="1"/>
  <c r="B177" i="1"/>
  <c r="G177" i="1"/>
  <c r="A178" i="1"/>
  <c r="B178" i="1"/>
  <c r="G178" i="1"/>
  <c r="A179" i="1"/>
  <c r="B179" i="1"/>
  <c r="G179" i="1"/>
  <c r="A180" i="1"/>
  <c r="B180" i="1"/>
  <c r="G180" i="1"/>
  <c r="A181" i="1"/>
  <c r="B181" i="1"/>
  <c r="G181" i="1"/>
  <c r="A182" i="1"/>
  <c r="B182" i="1"/>
  <c r="G182" i="1"/>
  <c r="A183" i="1"/>
  <c r="B183" i="1"/>
  <c r="G183" i="1"/>
  <c r="A184" i="1"/>
  <c r="B184" i="1"/>
  <c r="G184" i="1"/>
  <c r="A185" i="1"/>
  <c r="B185" i="1"/>
  <c r="G185" i="1"/>
  <c r="A186" i="1"/>
  <c r="B186" i="1"/>
  <c r="G186" i="1"/>
  <c r="A187" i="1"/>
  <c r="B187" i="1"/>
  <c r="G187" i="1"/>
  <c r="A188" i="1"/>
  <c r="B188" i="1"/>
  <c r="G188" i="1"/>
  <c r="A189" i="1"/>
  <c r="B189" i="1"/>
  <c r="G189" i="1"/>
  <c r="A190" i="1"/>
  <c r="B190" i="1"/>
  <c r="G190" i="1"/>
  <c r="A191" i="1"/>
  <c r="B191" i="1"/>
  <c r="G191" i="1"/>
  <c r="A192" i="1"/>
  <c r="B192" i="1"/>
  <c r="G192" i="1"/>
  <c r="A193" i="1"/>
  <c r="B193" i="1"/>
  <c r="G193" i="1"/>
  <c r="A194" i="1"/>
  <c r="B194" i="1"/>
  <c r="G194" i="1"/>
  <c r="A195" i="1"/>
  <c r="B195" i="1"/>
  <c r="G195" i="1"/>
  <c r="A196" i="1"/>
  <c r="B196" i="1"/>
  <c r="G196" i="1"/>
  <c r="A197" i="1"/>
  <c r="B197" i="1"/>
  <c r="G197" i="1"/>
  <c r="A198" i="1"/>
  <c r="B198" i="1"/>
  <c r="G198" i="1"/>
  <c r="A199" i="1"/>
  <c r="B199" i="1"/>
  <c r="G199" i="1"/>
  <c r="A200" i="1"/>
  <c r="B200" i="1"/>
  <c r="G200" i="1"/>
  <c r="A201" i="1"/>
  <c r="B201" i="1"/>
  <c r="G201" i="1"/>
  <c r="A202" i="1"/>
  <c r="B202" i="1"/>
  <c r="G202" i="1"/>
  <c r="A203" i="1"/>
  <c r="B203" i="1"/>
  <c r="G203" i="1"/>
  <c r="A204" i="1"/>
  <c r="B204" i="1"/>
  <c r="G204" i="1"/>
  <c r="A205" i="1"/>
  <c r="B205" i="1"/>
  <c r="G205" i="1"/>
  <c r="A206" i="1"/>
  <c r="B206" i="1"/>
  <c r="G206" i="1"/>
  <c r="A207" i="1"/>
  <c r="B207" i="1"/>
  <c r="G207" i="1"/>
  <c r="A208" i="1"/>
  <c r="B208" i="1"/>
  <c r="G208" i="1"/>
  <c r="A209" i="1"/>
  <c r="B209" i="1"/>
  <c r="G209" i="1"/>
  <c r="A210" i="1"/>
  <c r="B210" i="1"/>
  <c r="G210" i="1"/>
  <c r="A211" i="1"/>
  <c r="B211" i="1"/>
  <c r="G211" i="1"/>
  <c r="A212" i="1"/>
  <c r="B212" i="1"/>
  <c r="G212" i="1"/>
  <c r="A213" i="1"/>
  <c r="B213" i="1"/>
  <c r="G213" i="1"/>
  <c r="A214" i="1"/>
  <c r="B214" i="1"/>
  <c r="G214" i="1"/>
  <c r="A215" i="1"/>
  <c r="B215" i="1"/>
  <c r="G215" i="1"/>
  <c r="A216" i="1"/>
  <c r="B216" i="1"/>
  <c r="G216" i="1"/>
  <c r="A217" i="1"/>
  <c r="B217" i="1"/>
  <c r="G217" i="1"/>
  <c r="A218" i="1"/>
  <c r="B218" i="1"/>
  <c r="G218" i="1"/>
  <c r="A219" i="1"/>
  <c r="B219" i="1"/>
  <c r="G219" i="1"/>
  <c r="A220" i="1"/>
  <c r="B220" i="1"/>
  <c r="G220" i="1"/>
  <c r="A221" i="1"/>
  <c r="B221" i="1"/>
  <c r="G221" i="1"/>
  <c r="A222" i="1"/>
  <c r="B222" i="1"/>
  <c r="G222" i="1"/>
  <c r="A223" i="1"/>
  <c r="B223" i="1"/>
  <c r="G223" i="1"/>
  <c r="A224" i="1"/>
  <c r="B224" i="1"/>
  <c r="G224" i="1"/>
  <c r="A225" i="1"/>
  <c r="B225" i="1"/>
  <c r="G225" i="1"/>
  <c r="A226" i="1"/>
  <c r="B226" i="1"/>
  <c r="G226" i="1"/>
  <c r="A227" i="1"/>
  <c r="B227" i="1"/>
  <c r="G227" i="1"/>
  <c r="A228" i="1"/>
  <c r="B228" i="1"/>
  <c r="G228" i="1"/>
  <c r="A229" i="1"/>
  <c r="B229" i="1"/>
  <c r="G229" i="1"/>
  <c r="A230" i="1"/>
  <c r="B230" i="1"/>
  <c r="G230" i="1"/>
  <c r="A231" i="1"/>
  <c r="B231" i="1"/>
  <c r="G231" i="1"/>
  <c r="A232" i="1"/>
  <c r="B232" i="1"/>
  <c r="G232" i="1"/>
  <c r="A233" i="1"/>
  <c r="B233" i="1"/>
  <c r="G233" i="1"/>
  <c r="A234" i="1"/>
  <c r="B234" i="1"/>
  <c r="G234" i="1"/>
  <c r="A235" i="1"/>
  <c r="B235" i="1"/>
  <c r="G235" i="1"/>
  <c r="A236" i="1"/>
  <c r="B236" i="1"/>
  <c r="G236" i="1"/>
  <c r="A237" i="1"/>
  <c r="B237" i="1"/>
  <c r="G237" i="1"/>
  <c r="A238" i="1"/>
  <c r="B238" i="1"/>
  <c r="G238" i="1"/>
  <c r="A239" i="1"/>
  <c r="B239" i="1"/>
  <c r="G239" i="1"/>
  <c r="A240" i="1"/>
  <c r="B240" i="1"/>
  <c r="G240" i="1"/>
  <c r="A241" i="1"/>
  <c r="B241" i="1"/>
  <c r="G241" i="1"/>
  <c r="A242" i="1"/>
  <c r="B242" i="1"/>
  <c r="G242" i="1"/>
  <c r="A243" i="1"/>
  <c r="B243" i="1"/>
  <c r="G243" i="1"/>
  <c r="A244" i="1"/>
  <c r="B244" i="1"/>
  <c r="G244" i="1"/>
  <c r="A245" i="1"/>
  <c r="B245" i="1"/>
  <c r="G245" i="1"/>
  <c r="A246" i="1"/>
  <c r="B246" i="1"/>
  <c r="G246" i="1"/>
  <c r="A247" i="1"/>
  <c r="B247" i="1"/>
  <c r="G247" i="1"/>
  <c r="A248" i="1"/>
  <c r="B248" i="1"/>
  <c r="G248" i="1"/>
  <c r="A249" i="1"/>
  <c r="B249" i="1"/>
  <c r="G249" i="1"/>
  <c r="A250" i="1"/>
  <c r="B250" i="1"/>
  <c r="G250" i="1"/>
  <c r="A251" i="1"/>
  <c r="B251" i="1"/>
  <c r="G251" i="1"/>
  <c r="A252" i="1"/>
  <c r="B252" i="1"/>
  <c r="G252" i="1"/>
  <c r="A253" i="1"/>
  <c r="B253" i="1"/>
  <c r="G253" i="1"/>
  <c r="A254" i="1"/>
  <c r="B254" i="1"/>
  <c r="G254" i="1"/>
  <c r="A255" i="1"/>
  <c r="B255" i="1"/>
  <c r="G255" i="1"/>
  <c r="A256" i="1"/>
  <c r="B256" i="1"/>
  <c r="G256" i="1"/>
  <c r="A257" i="1"/>
  <c r="B257" i="1"/>
  <c r="G257" i="1"/>
  <c r="A258" i="1"/>
  <c r="B258" i="1"/>
  <c r="G258" i="1"/>
  <c r="A259" i="1"/>
  <c r="B259" i="1"/>
  <c r="G259" i="1"/>
  <c r="A260" i="1"/>
  <c r="B260" i="1"/>
  <c r="G260" i="1"/>
  <c r="A261" i="1"/>
  <c r="B261" i="1"/>
  <c r="G261" i="1"/>
  <c r="A262" i="1"/>
  <c r="B262" i="1"/>
  <c r="G262" i="1"/>
  <c r="A263" i="1"/>
  <c r="B263" i="1"/>
  <c r="G263" i="1"/>
  <c r="A264" i="1"/>
  <c r="B264" i="1"/>
  <c r="G264" i="1"/>
  <c r="A265" i="1"/>
  <c r="B265" i="1"/>
  <c r="G265" i="1"/>
  <c r="A266" i="1"/>
  <c r="B266" i="1"/>
  <c r="G266" i="1"/>
  <c r="A267" i="1"/>
  <c r="B267" i="1"/>
  <c r="G267" i="1"/>
  <c r="A268" i="1"/>
  <c r="B268" i="1"/>
  <c r="G268" i="1"/>
  <c r="A269" i="1"/>
  <c r="B269" i="1"/>
  <c r="G269" i="1"/>
  <c r="A270" i="1"/>
  <c r="B270" i="1"/>
  <c r="G270" i="1"/>
  <c r="A271" i="1"/>
  <c r="B271" i="1"/>
  <c r="G271" i="1"/>
  <c r="A272" i="1"/>
  <c r="B272" i="1"/>
  <c r="G272" i="1"/>
  <c r="A273" i="1"/>
  <c r="B273" i="1"/>
  <c r="G273" i="1"/>
  <c r="A274" i="1"/>
  <c r="B274" i="1"/>
  <c r="G274" i="1"/>
  <c r="A275" i="1"/>
  <c r="B275" i="1"/>
  <c r="G275" i="1"/>
  <c r="A276" i="1"/>
  <c r="B276" i="1"/>
  <c r="G276" i="1"/>
  <c r="A277" i="1"/>
  <c r="B277" i="1"/>
  <c r="G277" i="1"/>
  <c r="A278" i="1"/>
  <c r="B278" i="1"/>
  <c r="G278" i="1"/>
  <c r="A279" i="1"/>
  <c r="B279" i="1"/>
  <c r="G279" i="1"/>
  <c r="A280" i="1"/>
  <c r="B280" i="1"/>
  <c r="G280" i="1"/>
  <c r="A281" i="1"/>
  <c r="B281" i="1"/>
  <c r="G281" i="1"/>
  <c r="A282" i="1"/>
  <c r="B282" i="1"/>
  <c r="G282" i="1"/>
  <c r="A283" i="1"/>
  <c r="B283" i="1"/>
  <c r="G283" i="1"/>
  <c r="A284" i="1"/>
  <c r="B284" i="1"/>
  <c r="G284" i="1"/>
  <c r="A285" i="1"/>
  <c r="B285" i="1"/>
  <c r="G285" i="1"/>
  <c r="A286" i="1"/>
  <c r="B286" i="1"/>
  <c r="G286" i="1"/>
  <c r="A287" i="1"/>
  <c r="B287" i="1"/>
  <c r="G287" i="1"/>
  <c r="A288" i="1"/>
  <c r="B288" i="1"/>
  <c r="G288" i="1"/>
  <c r="A289" i="1"/>
  <c r="B289" i="1"/>
  <c r="G289" i="1"/>
  <c r="A290" i="1"/>
  <c r="B290" i="1"/>
  <c r="G290" i="1"/>
  <c r="A291" i="1"/>
  <c r="B291" i="1"/>
  <c r="G291" i="1"/>
  <c r="A292" i="1"/>
  <c r="B292" i="1"/>
  <c r="G292" i="1"/>
  <c r="A293" i="1"/>
  <c r="B293" i="1"/>
  <c r="G293" i="1"/>
  <c r="A294" i="1"/>
  <c r="B294" i="1"/>
  <c r="G294" i="1"/>
  <c r="A295" i="1"/>
  <c r="B295" i="1"/>
  <c r="G295" i="1"/>
  <c r="A296" i="1"/>
  <c r="B296" i="1"/>
  <c r="G296" i="1"/>
  <c r="A297" i="1"/>
  <c r="B297" i="1"/>
  <c r="G297" i="1"/>
  <c r="A298" i="1"/>
  <c r="B298" i="1"/>
  <c r="G298" i="1"/>
  <c r="A299" i="1"/>
  <c r="B299" i="1"/>
  <c r="G299" i="1"/>
  <c r="A300" i="1"/>
  <c r="B300" i="1"/>
  <c r="G300" i="1"/>
  <c r="A301" i="1"/>
  <c r="B301" i="1"/>
  <c r="G301" i="1"/>
  <c r="A302" i="1"/>
  <c r="B302" i="1"/>
  <c r="G302" i="1"/>
  <c r="A303" i="1"/>
  <c r="B303" i="1"/>
  <c r="G303" i="1"/>
  <c r="A304" i="1"/>
  <c r="B304" i="1"/>
  <c r="G304" i="1"/>
  <c r="A305" i="1"/>
  <c r="B305" i="1"/>
  <c r="G305" i="1"/>
  <c r="A306" i="1"/>
  <c r="B306" i="1"/>
  <c r="G306" i="1"/>
  <c r="A307" i="1"/>
  <c r="B307" i="1"/>
  <c r="G307" i="1"/>
  <c r="A308" i="1"/>
  <c r="B308" i="1"/>
  <c r="G308" i="1"/>
  <c r="A309" i="1"/>
  <c r="B309" i="1"/>
  <c r="G309" i="1"/>
  <c r="A310" i="1"/>
  <c r="B310" i="1"/>
  <c r="G310" i="1"/>
  <c r="A311" i="1"/>
  <c r="B311" i="1"/>
  <c r="G311" i="1"/>
  <c r="A312" i="1"/>
  <c r="B312" i="1"/>
  <c r="G312" i="1"/>
  <c r="A313" i="1"/>
  <c r="B313" i="1"/>
  <c r="G313" i="1"/>
  <c r="A314" i="1"/>
  <c r="B314" i="1"/>
  <c r="G314" i="1"/>
  <c r="A315" i="1"/>
  <c r="B315" i="1"/>
  <c r="G315" i="1"/>
  <c r="A316" i="1"/>
  <c r="B316" i="1"/>
  <c r="G316" i="1"/>
  <c r="A317" i="1"/>
  <c r="B317" i="1"/>
  <c r="G317" i="1"/>
  <c r="A318" i="1"/>
  <c r="B318" i="1"/>
  <c r="G318" i="1"/>
  <c r="A319" i="1"/>
  <c r="B319" i="1"/>
  <c r="G319" i="1"/>
  <c r="A320" i="1"/>
  <c r="B320" i="1"/>
  <c r="G320" i="1"/>
  <c r="A321" i="1"/>
  <c r="B321" i="1"/>
  <c r="G321" i="1"/>
  <c r="A322" i="1"/>
  <c r="B322" i="1"/>
  <c r="G322" i="1"/>
  <c r="A323" i="1"/>
  <c r="B323" i="1"/>
  <c r="G323" i="1"/>
  <c r="A324" i="1"/>
  <c r="B324" i="1"/>
  <c r="G324" i="1"/>
  <c r="A325" i="1"/>
  <c r="B325" i="1"/>
  <c r="G325" i="1"/>
  <c r="A326" i="1"/>
  <c r="B326" i="1"/>
  <c r="G326" i="1"/>
  <c r="A327" i="1"/>
  <c r="B327" i="1"/>
  <c r="G327" i="1"/>
  <c r="A328" i="1"/>
  <c r="B328" i="1"/>
  <c r="G328" i="1"/>
  <c r="A329" i="1"/>
  <c r="B329" i="1"/>
  <c r="G329" i="1"/>
  <c r="A330" i="1"/>
  <c r="B330" i="1"/>
  <c r="G330" i="1"/>
  <c r="A331" i="1"/>
  <c r="B331" i="1"/>
  <c r="G331" i="1"/>
  <c r="A332" i="1"/>
  <c r="B332" i="1"/>
  <c r="G332" i="1"/>
  <c r="A333" i="1"/>
  <c r="B333" i="1"/>
  <c r="G333" i="1"/>
  <c r="A334" i="1"/>
  <c r="B334" i="1"/>
  <c r="G334" i="1"/>
  <c r="A335" i="1"/>
  <c r="B335" i="1"/>
  <c r="G335" i="1"/>
  <c r="A336" i="1"/>
  <c r="B336" i="1"/>
  <c r="G336" i="1"/>
  <c r="A337" i="1"/>
  <c r="B337" i="1"/>
  <c r="G337" i="1"/>
  <c r="A338" i="1"/>
  <c r="B338" i="1"/>
  <c r="G338" i="1"/>
  <c r="A339" i="1"/>
  <c r="B339" i="1"/>
  <c r="G339" i="1"/>
  <c r="A340" i="1"/>
  <c r="B340" i="1"/>
  <c r="G340" i="1"/>
  <c r="A341" i="1"/>
  <c r="B341" i="1"/>
  <c r="G341" i="1"/>
  <c r="A342" i="1"/>
  <c r="B342" i="1"/>
  <c r="G342" i="1"/>
  <c r="A343" i="1"/>
  <c r="B343" i="1"/>
  <c r="G343" i="1"/>
  <c r="A344" i="1"/>
  <c r="B344" i="1"/>
  <c r="G344" i="1"/>
  <c r="A345" i="1"/>
  <c r="B345" i="1"/>
  <c r="G345" i="1"/>
  <c r="A346" i="1"/>
  <c r="B346" i="1"/>
  <c r="G346" i="1"/>
  <c r="A347" i="1"/>
  <c r="B347" i="1"/>
  <c r="G347" i="1"/>
  <c r="A348" i="1"/>
  <c r="B348" i="1"/>
  <c r="G348" i="1"/>
  <c r="A349" i="1"/>
  <c r="B349" i="1"/>
  <c r="G349" i="1"/>
  <c r="A350" i="1"/>
  <c r="B350" i="1"/>
  <c r="G350" i="1"/>
  <c r="A351" i="1"/>
  <c r="B351" i="1"/>
  <c r="G351" i="1"/>
  <c r="A352" i="1"/>
  <c r="B352" i="1"/>
  <c r="G352" i="1"/>
  <c r="A353" i="1"/>
  <c r="B353" i="1"/>
  <c r="G353" i="1"/>
  <c r="A354" i="1"/>
  <c r="B354" i="1"/>
  <c r="G354" i="1"/>
  <c r="A355" i="1"/>
  <c r="B355" i="1"/>
  <c r="G355" i="1"/>
  <c r="A356" i="1"/>
  <c r="B356" i="1"/>
  <c r="G356" i="1"/>
  <c r="A357" i="1"/>
  <c r="B357" i="1"/>
  <c r="G357" i="1"/>
  <c r="A358" i="1"/>
  <c r="B358" i="1"/>
  <c r="G358" i="1"/>
  <c r="A359" i="1"/>
  <c r="B359" i="1"/>
  <c r="G359" i="1"/>
  <c r="A360" i="1"/>
  <c r="B360" i="1"/>
  <c r="G360" i="1"/>
  <c r="A361" i="1"/>
  <c r="B361" i="1"/>
  <c r="G361" i="1"/>
  <c r="A362" i="1"/>
  <c r="B362" i="1"/>
  <c r="G362" i="1"/>
  <c r="A363" i="1"/>
  <c r="B363" i="1"/>
  <c r="G363" i="1"/>
  <c r="A364" i="1"/>
  <c r="B364" i="1"/>
  <c r="G364" i="1"/>
  <c r="A365" i="1"/>
  <c r="B365" i="1"/>
  <c r="G365" i="1"/>
  <c r="A366" i="1"/>
  <c r="B366" i="1"/>
  <c r="G366" i="1"/>
  <c r="A367" i="1"/>
  <c r="B367" i="1"/>
  <c r="G367" i="1"/>
  <c r="A368" i="1"/>
  <c r="B368" i="1"/>
  <c r="G368" i="1"/>
  <c r="A369" i="1"/>
  <c r="B369" i="1"/>
  <c r="G369" i="1"/>
  <c r="A370" i="1"/>
  <c r="B370" i="1"/>
  <c r="G370" i="1"/>
  <c r="A371" i="1"/>
  <c r="B371" i="1"/>
  <c r="G371" i="1"/>
  <c r="A372" i="1"/>
  <c r="B372" i="1"/>
  <c r="G372" i="1"/>
  <c r="A373" i="1"/>
  <c r="B373" i="1"/>
  <c r="G373" i="1"/>
  <c r="A374" i="1"/>
  <c r="B374" i="1"/>
  <c r="G374" i="1"/>
  <c r="A375" i="1"/>
  <c r="B375" i="1"/>
  <c r="G375" i="1"/>
  <c r="A376" i="1"/>
  <c r="B376" i="1"/>
  <c r="G376" i="1"/>
  <c r="A377" i="1"/>
  <c r="B377" i="1"/>
  <c r="G377" i="1"/>
  <c r="A378" i="1"/>
  <c r="B378" i="1"/>
  <c r="G378" i="1"/>
  <c r="A379" i="1"/>
  <c r="B379" i="1"/>
  <c r="G379" i="1"/>
  <c r="A380" i="1"/>
  <c r="B380" i="1"/>
  <c r="G380" i="1"/>
  <c r="A381" i="1"/>
  <c r="B381" i="1"/>
  <c r="G381" i="1"/>
  <c r="A382" i="1"/>
  <c r="B382" i="1"/>
  <c r="G382" i="1"/>
  <c r="A383" i="1"/>
  <c r="B383" i="1"/>
  <c r="G383" i="1"/>
  <c r="A384" i="1"/>
  <c r="B384" i="1"/>
  <c r="G384" i="1"/>
  <c r="A385" i="1"/>
  <c r="B385" i="1"/>
  <c r="G385" i="1"/>
  <c r="A386" i="1"/>
  <c r="B386" i="1"/>
  <c r="G386" i="1"/>
  <c r="A387" i="1"/>
  <c r="B387" i="1"/>
  <c r="G387" i="1"/>
  <c r="A388" i="1"/>
  <c r="B388" i="1"/>
  <c r="G388" i="1"/>
  <c r="A389" i="1"/>
  <c r="B389" i="1"/>
  <c r="G389" i="1"/>
  <c r="A390" i="1"/>
  <c r="B390" i="1"/>
  <c r="G390" i="1"/>
  <c r="A391" i="1"/>
  <c r="B391" i="1"/>
  <c r="G391" i="1"/>
  <c r="A392" i="1"/>
  <c r="B392" i="1"/>
  <c r="G392" i="1"/>
  <c r="A393" i="1"/>
  <c r="B393" i="1"/>
  <c r="G393" i="1"/>
  <c r="A394" i="1"/>
  <c r="B394" i="1"/>
  <c r="G394" i="1"/>
  <c r="A395" i="1"/>
  <c r="B395" i="1"/>
  <c r="G395" i="1"/>
  <c r="A396" i="1"/>
  <c r="B396" i="1"/>
  <c r="G396" i="1"/>
  <c r="A397" i="1"/>
  <c r="B397" i="1"/>
  <c r="G397" i="1"/>
  <c r="A398" i="1"/>
  <c r="B398" i="1"/>
  <c r="G398" i="1"/>
  <c r="A399" i="1"/>
  <c r="B399" i="1"/>
  <c r="G399" i="1"/>
  <c r="A400" i="1"/>
  <c r="B400" i="1"/>
  <c r="G400" i="1"/>
  <c r="A401" i="1"/>
  <c r="B401" i="1"/>
  <c r="G401" i="1"/>
  <c r="A402" i="1"/>
  <c r="B402" i="1"/>
  <c r="G402" i="1"/>
  <c r="A403" i="1"/>
  <c r="B403" i="1"/>
  <c r="G403" i="1"/>
  <c r="A404" i="1"/>
  <c r="B404" i="1"/>
  <c r="G404" i="1"/>
  <c r="A405" i="1"/>
  <c r="B405" i="1"/>
  <c r="G405" i="1"/>
  <c r="A406" i="1"/>
  <c r="B406" i="1"/>
  <c r="G406" i="1"/>
  <c r="A407" i="1"/>
  <c r="B407" i="1"/>
  <c r="G407" i="1"/>
  <c r="A408" i="1"/>
  <c r="B408" i="1"/>
  <c r="G408" i="1"/>
  <c r="A409" i="1"/>
  <c r="B409" i="1"/>
  <c r="G409" i="1"/>
  <c r="A410" i="1"/>
  <c r="B410" i="1"/>
  <c r="G410" i="1"/>
  <c r="A411" i="1"/>
  <c r="B411" i="1"/>
  <c r="G411" i="1"/>
  <c r="A412" i="1"/>
  <c r="B412" i="1"/>
  <c r="G412" i="1"/>
  <c r="A413" i="1"/>
  <c r="B413" i="1"/>
  <c r="G413" i="1"/>
  <c r="A414" i="1"/>
  <c r="B414" i="1"/>
  <c r="G414" i="1"/>
  <c r="A415" i="1"/>
  <c r="B415" i="1"/>
  <c r="G415" i="1"/>
  <c r="A416" i="1"/>
  <c r="B416" i="1"/>
  <c r="G416" i="1"/>
  <c r="A417" i="1"/>
  <c r="B417" i="1"/>
  <c r="G417" i="1"/>
  <c r="A418" i="1"/>
  <c r="B418" i="1"/>
  <c r="G418" i="1"/>
  <c r="A419" i="1"/>
  <c r="B419" i="1"/>
  <c r="G419" i="1"/>
  <c r="A420" i="1"/>
  <c r="B420" i="1"/>
  <c r="G420" i="1"/>
  <c r="A421" i="1"/>
  <c r="B421" i="1"/>
  <c r="G421" i="1"/>
  <c r="A422" i="1"/>
  <c r="B422" i="1"/>
  <c r="G422" i="1"/>
  <c r="A423" i="1"/>
  <c r="B423" i="1"/>
  <c r="G423" i="1"/>
  <c r="A424" i="1"/>
  <c r="B424" i="1"/>
  <c r="G424" i="1"/>
  <c r="A425" i="1"/>
  <c r="B425" i="1"/>
  <c r="G425" i="1"/>
  <c r="A426" i="1"/>
  <c r="B426" i="1"/>
  <c r="G426" i="1"/>
  <c r="A427" i="1"/>
  <c r="B427" i="1"/>
  <c r="G427" i="1"/>
  <c r="A428" i="1"/>
  <c r="B428" i="1"/>
  <c r="G428" i="1"/>
  <c r="A429" i="1"/>
  <c r="B429" i="1"/>
  <c r="G429" i="1"/>
  <c r="A430" i="1"/>
  <c r="B430" i="1"/>
  <c r="G430" i="1"/>
  <c r="A431" i="1"/>
  <c r="B431" i="1"/>
  <c r="G431" i="1"/>
  <c r="A432" i="1"/>
  <c r="B432" i="1"/>
  <c r="G432" i="1"/>
  <c r="A433" i="1"/>
  <c r="B433" i="1"/>
  <c r="G433" i="1"/>
  <c r="A434" i="1"/>
  <c r="B434" i="1"/>
  <c r="G434" i="1"/>
  <c r="A435" i="1"/>
  <c r="B435" i="1"/>
  <c r="G435" i="1"/>
  <c r="A436" i="1"/>
  <c r="B436" i="1"/>
  <c r="G436" i="1"/>
  <c r="A437" i="1"/>
  <c r="B437" i="1"/>
  <c r="G437" i="1"/>
  <c r="A438" i="1"/>
  <c r="B438" i="1"/>
  <c r="G438" i="1"/>
  <c r="A439" i="1"/>
  <c r="B439" i="1"/>
  <c r="G439" i="1"/>
  <c r="A440" i="1"/>
  <c r="B440" i="1"/>
  <c r="G440" i="1"/>
  <c r="A441" i="1"/>
  <c r="B441" i="1"/>
  <c r="G441" i="1"/>
  <c r="A442" i="1"/>
  <c r="B442" i="1"/>
  <c r="G442" i="1"/>
  <c r="A443" i="1"/>
  <c r="B443" i="1"/>
  <c r="G443" i="1"/>
  <c r="A444" i="1"/>
  <c r="B444" i="1"/>
  <c r="G444" i="1"/>
  <c r="A445" i="1"/>
  <c r="B445" i="1"/>
  <c r="G445" i="1"/>
  <c r="A446" i="1"/>
  <c r="B446" i="1"/>
  <c r="G446" i="1"/>
  <c r="A447" i="1"/>
  <c r="B447" i="1"/>
  <c r="G447" i="1"/>
  <c r="A448" i="1"/>
  <c r="B448" i="1"/>
  <c r="G448" i="1"/>
  <c r="A449" i="1"/>
  <c r="B449" i="1"/>
  <c r="G449" i="1"/>
  <c r="A450" i="1"/>
  <c r="B450" i="1"/>
  <c r="G450" i="1"/>
  <c r="A451" i="1"/>
  <c r="B451" i="1"/>
  <c r="G451" i="1"/>
  <c r="A452" i="1"/>
  <c r="B452" i="1"/>
  <c r="G452" i="1"/>
  <c r="A453" i="1"/>
  <c r="B453" i="1"/>
  <c r="G453" i="1"/>
  <c r="A454" i="1"/>
  <c r="B454" i="1"/>
  <c r="G454" i="1"/>
  <c r="A455" i="1"/>
  <c r="B455" i="1"/>
  <c r="G455" i="1"/>
  <c r="A456" i="1"/>
  <c r="B456" i="1"/>
  <c r="G456" i="1"/>
  <c r="A457" i="1"/>
  <c r="B457" i="1"/>
  <c r="G457" i="1"/>
  <c r="A458" i="1"/>
  <c r="B458" i="1"/>
  <c r="G458" i="1"/>
  <c r="A459" i="1"/>
  <c r="B459" i="1"/>
  <c r="G459" i="1"/>
  <c r="A460" i="1"/>
  <c r="B460" i="1"/>
  <c r="G460" i="1"/>
  <c r="A461" i="1"/>
  <c r="B461" i="1"/>
  <c r="G461" i="1"/>
  <c r="A462" i="1"/>
  <c r="B462" i="1"/>
  <c r="G462" i="1"/>
  <c r="A463" i="1"/>
  <c r="B463" i="1"/>
  <c r="G463" i="1"/>
  <c r="A464" i="1"/>
  <c r="B464" i="1"/>
  <c r="G464" i="1"/>
  <c r="A465" i="1"/>
  <c r="B465" i="1"/>
  <c r="G465" i="1"/>
  <c r="A466" i="1"/>
  <c r="B466" i="1"/>
  <c r="G466" i="1"/>
  <c r="A467" i="1"/>
  <c r="B467" i="1"/>
  <c r="G467" i="1"/>
  <c r="A468" i="1"/>
  <c r="B468" i="1"/>
  <c r="G468" i="1"/>
  <c r="A469" i="1"/>
  <c r="B469" i="1"/>
  <c r="G469" i="1"/>
  <c r="A470" i="1"/>
  <c r="B470" i="1"/>
  <c r="G470" i="1"/>
  <c r="A471" i="1"/>
  <c r="B471" i="1"/>
  <c r="G471" i="1"/>
  <c r="A472" i="1"/>
  <c r="B472" i="1"/>
  <c r="G472" i="1"/>
  <c r="A473" i="1"/>
  <c r="B473" i="1"/>
  <c r="G473" i="1"/>
  <c r="A474" i="1"/>
  <c r="B474" i="1"/>
  <c r="G474" i="1"/>
  <c r="A475" i="1"/>
  <c r="B475" i="1"/>
  <c r="G475" i="1"/>
  <c r="A476" i="1"/>
  <c r="B476" i="1"/>
  <c r="G476" i="1"/>
  <c r="A477" i="1"/>
  <c r="B477" i="1"/>
  <c r="G477" i="1"/>
  <c r="A478" i="1"/>
  <c r="B478" i="1"/>
  <c r="G478" i="1"/>
  <c r="A479" i="1"/>
  <c r="B479" i="1"/>
  <c r="G479" i="1"/>
  <c r="A480" i="1"/>
  <c r="B480" i="1"/>
  <c r="G480" i="1"/>
  <c r="A481" i="1"/>
  <c r="B481" i="1"/>
  <c r="G481" i="1"/>
  <c r="A482" i="1"/>
  <c r="B482" i="1"/>
  <c r="G482" i="1"/>
  <c r="A483" i="1"/>
  <c r="B483" i="1"/>
  <c r="G483" i="1"/>
  <c r="A484" i="1"/>
  <c r="B484" i="1"/>
  <c r="G484" i="1"/>
  <c r="A485" i="1"/>
  <c r="B485" i="1"/>
  <c r="G485" i="1"/>
  <c r="A486" i="1"/>
  <c r="B486" i="1"/>
  <c r="G486" i="1"/>
  <c r="A487" i="1"/>
  <c r="B487" i="1"/>
  <c r="G487" i="1"/>
  <c r="A488" i="1"/>
  <c r="B488" i="1"/>
  <c r="G488" i="1"/>
  <c r="A489" i="1"/>
  <c r="B489" i="1"/>
  <c r="G489" i="1"/>
  <c r="A490" i="1"/>
  <c r="B490" i="1"/>
  <c r="G490" i="1"/>
  <c r="A491" i="1"/>
  <c r="B491" i="1"/>
  <c r="G491" i="1"/>
  <c r="A492" i="1"/>
  <c r="B492" i="1"/>
  <c r="G492" i="1"/>
  <c r="A493" i="1"/>
  <c r="B493" i="1"/>
  <c r="G493" i="1"/>
  <c r="A494" i="1"/>
  <c r="B494" i="1"/>
  <c r="G494" i="1"/>
  <c r="A495" i="1"/>
  <c r="B495" i="1"/>
  <c r="G495" i="1"/>
  <c r="A496" i="1"/>
  <c r="B496" i="1"/>
  <c r="G496" i="1"/>
  <c r="A497" i="1"/>
  <c r="B497" i="1"/>
  <c r="G497" i="1"/>
  <c r="A498" i="1"/>
  <c r="B498" i="1"/>
  <c r="G498" i="1"/>
  <c r="A499" i="1"/>
  <c r="B499" i="1"/>
  <c r="G499" i="1"/>
  <c r="A500" i="1"/>
  <c r="B500" i="1"/>
  <c r="G500" i="1"/>
  <c r="A501" i="1"/>
  <c r="B501" i="1"/>
  <c r="G501" i="1"/>
  <c r="A502" i="1"/>
  <c r="B502" i="1"/>
  <c r="G502" i="1"/>
  <c r="A503" i="1"/>
  <c r="B503" i="1"/>
  <c r="G503" i="1"/>
  <c r="A504" i="1"/>
  <c r="B504" i="1"/>
  <c r="G504" i="1"/>
  <c r="A505" i="1"/>
  <c r="B505" i="1"/>
  <c r="G505" i="1"/>
  <c r="A506" i="1"/>
  <c r="B506" i="1"/>
  <c r="G506" i="1"/>
  <c r="A507" i="1"/>
  <c r="B507" i="1"/>
  <c r="G507" i="1"/>
  <c r="A508" i="1"/>
  <c r="B508" i="1"/>
  <c r="G508" i="1"/>
  <c r="A509" i="1"/>
  <c r="B509" i="1"/>
  <c r="G509" i="1"/>
  <c r="A510" i="1"/>
  <c r="B510" i="1"/>
  <c r="G510" i="1"/>
  <c r="A511" i="1"/>
  <c r="B511" i="1"/>
  <c r="G511" i="1"/>
  <c r="A512" i="1"/>
  <c r="B512" i="1"/>
  <c r="G512" i="1"/>
  <c r="A513" i="1"/>
  <c r="B513" i="1"/>
  <c r="G513" i="1"/>
  <c r="A514" i="1"/>
  <c r="B514" i="1"/>
  <c r="G514" i="1"/>
  <c r="A515" i="1"/>
  <c r="B515" i="1"/>
  <c r="G515" i="1"/>
  <c r="A516" i="1"/>
  <c r="B516" i="1"/>
  <c r="G516" i="1"/>
  <c r="A517" i="1"/>
  <c r="B517" i="1"/>
  <c r="G517" i="1"/>
  <c r="A518" i="1"/>
  <c r="B518" i="1"/>
  <c r="G518" i="1"/>
  <c r="A519" i="1"/>
  <c r="B519" i="1"/>
  <c r="G519" i="1"/>
  <c r="A520" i="1"/>
  <c r="B520" i="1"/>
  <c r="G520" i="1"/>
  <c r="A521" i="1"/>
  <c r="B521" i="1"/>
  <c r="G521" i="1"/>
  <c r="A522" i="1"/>
  <c r="B522" i="1"/>
  <c r="G522" i="1"/>
  <c r="A523" i="1"/>
  <c r="B523" i="1"/>
  <c r="G523" i="1"/>
  <c r="A524" i="1"/>
  <c r="B524" i="1"/>
  <c r="G524" i="1"/>
  <c r="A525" i="1"/>
  <c r="B525" i="1"/>
  <c r="G525" i="1"/>
  <c r="A526" i="1"/>
  <c r="B526" i="1"/>
  <c r="G526" i="1"/>
  <c r="A527" i="1"/>
  <c r="B527" i="1"/>
  <c r="G527" i="1"/>
  <c r="A528" i="1"/>
  <c r="B528" i="1"/>
  <c r="G528" i="1"/>
  <c r="A529" i="1"/>
  <c r="B529" i="1"/>
  <c r="G529" i="1"/>
  <c r="A530" i="1"/>
  <c r="B530" i="1"/>
  <c r="G530" i="1"/>
  <c r="A531" i="1"/>
  <c r="B531" i="1"/>
  <c r="G531" i="1"/>
  <c r="A532" i="1"/>
  <c r="B532" i="1"/>
  <c r="G532" i="1"/>
  <c r="A533" i="1"/>
  <c r="B533" i="1"/>
  <c r="G533" i="1"/>
  <c r="A534" i="1"/>
  <c r="B534" i="1"/>
  <c r="G534" i="1"/>
  <c r="A535" i="1"/>
  <c r="B535" i="1"/>
  <c r="G535" i="1"/>
  <c r="A536" i="1"/>
  <c r="B536" i="1"/>
  <c r="G536" i="1"/>
  <c r="A537" i="1"/>
  <c r="B537" i="1"/>
  <c r="G537" i="1"/>
  <c r="A538" i="1"/>
  <c r="B538" i="1"/>
  <c r="G538" i="1"/>
  <c r="A539" i="1"/>
  <c r="B539" i="1"/>
  <c r="G539" i="1"/>
  <c r="A540" i="1"/>
  <c r="B540" i="1"/>
  <c r="G540" i="1"/>
  <c r="A541" i="1"/>
  <c r="B541" i="1"/>
  <c r="G541" i="1"/>
  <c r="A542" i="1"/>
  <c r="B542" i="1"/>
  <c r="G542" i="1"/>
  <c r="A543" i="1"/>
  <c r="B543" i="1"/>
  <c r="G543" i="1"/>
  <c r="A544" i="1"/>
  <c r="B544" i="1"/>
  <c r="G544" i="1"/>
  <c r="A545" i="1"/>
  <c r="B545" i="1"/>
  <c r="G545" i="1"/>
  <c r="A546" i="1"/>
  <c r="B546" i="1"/>
  <c r="G546" i="1"/>
  <c r="A547" i="1"/>
  <c r="B547" i="1"/>
  <c r="G547" i="1"/>
  <c r="A548" i="1"/>
  <c r="B548" i="1"/>
  <c r="G548" i="1"/>
  <c r="A549" i="1"/>
  <c r="B549" i="1"/>
  <c r="G549" i="1"/>
  <c r="A550" i="1"/>
  <c r="B550" i="1"/>
  <c r="G550" i="1"/>
  <c r="A551" i="1"/>
  <c r="B551" i="1"/>
  <c r="G551" i="1"/>
  <c r="A552" i="1"/>
  <c r="B552" i="1"/>
  <c r="G552" i="1"/>
  <c r="A553" i="1"/>
  <c r="B553" i="1"/>
  <c r="G553" i="1"/>
  <c r="A554" i="1"/>
  <c r="B554" i="1"/>
  <c r="G554" i="1"/>
  <c r="A555" i="1"/>
  <c r="B555" i="1"/>
  <c r="G555" i="1"/>
  <c r="A556" i="1"/>
  <c r="B556" i="1"/>
  <c r="G556" i="1"/>
  <c r="A557" i="1"/>
  <c r="B557" i="1"/>
  <c r="G557" i="1"/>
  <c r="A558" i="1"/>
  <c r="B558" i="1"/>
  <c r="G558" i="1"/>
  <c r="A559" i="1"/>
  <c r="B559" i="1"/>
  <c r="G559" i="1"/>
  <c r="A560" i="1"/>
  <c r="B560" i="1"/>
  <c r="G560" i="1"/>
  <c r="A561" i="1"/>
  <c r="B561" i="1"/>
  <c r="G561" i="1"/>
  <c r="A562" i="1"/>
  <c r="B562" i="1"/>
  <c r="G562" i="1"/>
  <c r="A563" i="1"/>
  <c r="B563" i="1"/>
  <c r="G563" i="1"/>
  <c r="A564" i="1"/>
  <c r="B564" i="1"/>
  <c r="G564" i="1"/>
  <c r="A565" i="1"/>
  <c r="B565" i="1"/>
  <c r="G565" i="1"/>
  <c r="A566" i="1"/>
  <c r="B566" i="1"/>
  <c r="G566" i="1"/>
  <c r="A567" i="1"/>
  <c r="B567" i="1"/>
  <c r="G567" i="1"/>
  <c r="A568" i="1"/>
  <c r="B568" i="1"/>
  <c r="G568" i="1"/>
  <c r="A569" i="1"/>
  <c r="B569" i="1"/>
  <c r="G569" i="1"/>
  <c r="A570" i="1"/>
  <c r="B570" i="1"/>
  <c r="G570" i="1"/>
  <c r="A571" i="1"/>
  <c r="B571" i="1"/>
  <c r="G571" i="1"/>
  <c r="A572" i="1"/>
  <c r="B572" i="1"/>
  <c r="G572" i="1"/>
  <c r="A573" i="1"/>
  <c r="B573" i="1"/>
  <c r="G573" i="1"/>
  <c r="A574" i="1"/>
  <c r="B574" i="1"/>
  <c r="G574" i="1"/>
  <c r="A575" i="1"/>
  <c r="B575" i="1"/>
  <c r="G575" i="1"/>
  <c r="A576" i="1"/>
  <c r="B576" i="1"/>
  <c r="G576" i="1"/>
  <c r="A577" i="1"/>
  <c r="B577" i="1"/>
  <c r="G577" i="1"/>
  <c r="A578" i="1"/>
  <c r="B578" i="1"/>
  <c r="G578" i="1"/>
  <c r="A579" i="1"/>
  <c r="B579" i="1"/>
  <c r="G579" i="1"/>
  <c r="A580" i="1"/>
  <c r="B580" i="1"/>
  <c r="G580" i="1"/>
  <c r="A581" i="1"/>
  <c r="B581" i="1"/>
  <c r="G581" i="1"/>
  <c r="A582" i="1"/>
  <c r="B582" i="1"/>
  <c r="G582" i="1"/>
  <c r="A583" i="1"/>
  <c r="B583" i="1"/>
  <c r="G583" i="1"/>
  <c r="A584" i="1"/>
  <c r="B584" i="1"/>
  <c r="G584" i="1"/>
  <c r="A585" i="1"/>
  <c r="B585" i="1"/>
  <c r="G585" i="1"/>
  <c r="A586" i="1"/>
  <c r="B586" i="1"/>
  <c r="G586" i="1"/>
  <c r="A587" i="1"/>
  <c r="B587" i="1"/>
  <c r="G587" i="1"/>
  <c r="A588" i="1"/>
  <c r="B588" i="1"/>
  <c r="G588" i="1"/>
  <c r="A589" i="1"/>
  <c r="B589" i="1"/>
  <c r="G589" i="1"/>
  <c r="A590" i="1"/>
  <c r="B590" i="1"/>
  <c r="G590" i="1"/>
  <c r="A591" i="1"/>
  <c r="B591" i="1"/>
  <c r="G591" i="1"/>
  <c r="A592" i="1"/>
  <c r="B592" i="1"/>
  <c r="G592" i="1"/>
  <c r="A593" i="1"/>
  <c r="B593" i="1"/>
  <c r="G593" i="1"/>
  <c r="A594" i="1"/>
  <c r="B594" i="1"/>
  <c r="G594" i="1"/>
  <c r="A595" i="1"/>
  <c r="B595" i="1"/>
  <c r="G595" i="1"/>
  <c r="A596" i="1"/>
  <c r="B596" i="1"/>
  <c r="G596" i="1"/>
  <c r="A597" i="1"/>
  <c r="B597" i="1"/>
  <c r="G597" i="1"/>
  <c r="A598" i="1"/>
  <c r="B598" i="1"/>
  <c r="G598" i="1"/>
  <c r="A599" i="1"/>
  <c r="B599" i="1"/>
  <c r="G599" i="1"/>
  <c r="A600" i="1"/>
  <c r="B600" i="1"/>
  <c r="G600" i="1"/>
  <c r="A601" i="1"/>
  <c r="B601" i="1"/>
  <c r="G601" i="1"/>
  <c r="A602" i="1"/>
  <c r="B602" i="1"/>
  <c r="G602" i="1"/>
  <c r="A603" i="1"/>
  <c r="B603" i="1"/>
  <c r="G603" i="1"/>
  <c r="A604" i="1"/>
  <c r="B604" i="1"/>
  <c r="G604" i="1"/>
  <c r="A605" i="1"/>
  <c r="B605" i="1"/>
  <c r="G605" i="1"/>
  <c r="A606" i="1"/>
  <c r="B606" i="1"/>
  <c r="G606" i="1"/>
  <c r="A607" i="1"/>
  <c r="B607" i="1"/>
  <c r="G607" i="1"/>
  <c r="A608" i="1"/>
  <c r="B608" i="1"/>
  <c r="G608" i="1"/>
  <c r="A609" i="1"/>
  <c r="B609" i="1"/>
  <c r="G609" i="1"/>
  <c r="A610" i="1"/>
  <c r="B610" i="1"/>
  <c r="G610" i="1"/>
  <c r="A611" i="1"/>
  <c r="B611" i="1"/>
  <c r="G611" i="1"/>
  <c r="A612" i="1"/>
  <c r="B612" i="1"/>
  <c r="G612" i="1"/>
  <c r="A613" i="1"/>
  <c r="B613" i="1"/>
  <c r="G613" i="1"/>
  <c r="A614" i="1"/>
  <c r="B614" i="1"/>
  <c r="G614" i="1"/>
  <c r="A615" i="1"/>
  <c r="B615" i="1"/>
  <c r="G615" i="1"/>
  <c r="A616" i="1"/>
  <c r="B616" i="1"/>
  <c r="G616" i="1"/>
  <c r="A617" i="1"/>
  <c r="B617" i="1"/>
  <c r="G617" i="1"/>
  <c r="A618" i="1"/>
  <c r="B618" i="1"/>
  <c r="G618" i="1"/>
  <c r="A619" i="1"/>
  <c r="B619" i="1"/>
  <c r="G619" i="1"/>
  <c r="A620" i="1"/>
  <c r="B620" i="1"/>
  <c r="G620" i="1"/>
  <c r="A621" i="1"/>
  <c r="B621" i="1"/>
  <c r="G621" i="1"/>
  <c r="A622" i="1"/>
  <c r="B622" i="1"/>
  <c r="G622" i="1"/>
  <c r="A623" i="1"/>
  <c r="B623" i="1"/>
  <c r="G623" i="1"/>
  <c r="A624" i="1"/>
  <c r="B624" i="1"/>
  <c r="G624" i="1"/>
  <c r="A625" i="1"/>
  <c r="B625" i="1"/>
  <c r="G625" i="1"/>
  <c r="A626" i="1"/>
  <c r="B626" i="1"/>
  <c r="G626" i="1"/>
  <c r="A627" i="1"/>
  <c r="B627" i="1"/>
  <c r="G627" i="1"/>
  <c r="A628" i="1"/>
  <c r="B628" i="1"/>
  <c r="G628" i="1"/>
  <c r="A629" i="1"/>
  <c r="B629" i="1"/>
  <c r="G629" i="1"/>
  <c r="A630" i="1"/>
  <c r="B630" i="1"/>
  <c r="G630" i="1"/>
  <c r="A631" i="1"/>
  <c r="B631" i="1"/>
  <c r="G631" i="1"/>
  <c r="A632" i="1"/>
  <c r="B632" i="1"/>
  <c r="G632" i="1"/>
  <c r="A633" i="1"/>
  <c r="B633" i="1"/>
  <c r="G633" i="1"/>
  <c r="A634" i="1"/>
  <c r="B634" i="1"/>
  <c r="G634" i="1"/>
  <c r="A635" i="1"/>
  <c r="B635" i="1"/>
  <c r="G635" i="1"/>
  <c r="A636" i="1"/>
  <c r="B636" i="1"/>
  <c r="G636" i="1"/>
  <c r="A637" i="1"/>
  <c r="B637" i="1"/>
  <c r="G637" i="1"/>
  <c r="A638" i="1"/>
  <c r="B638" i="1"/>
  <c r="G638" i="1"/>
  <c r="A639" i="1"/>
  <c r="B639" i="1"/>
  <c r="G639" i="1"/>
  <c r="A640" i="1"/>
  <c r="B640" i="1"/>
  <c r="G640" i="1"/>
  <c r="A641" i="1"/>
  <c r="B641" i="1"/>
  <c r="G641" i="1"/>
  <c r="A642" i="1"/>
  <c r="B642" i="1"/>
  <c r="G642" i="1"/>
  <c r="A643" i="1"/>
  <c r="B643" i="1"/>
  <c r="G643" i="1"/>
  <c r="A644" i="1"/>
  <c r="B644" i="1"/>
  <c r="G644" i="1"/>
  <c r="A645" i="1"/>
  <c r="B645" i="1"/>
  <c r="G645" i="1"/>
  <c r="A646" i="1"/>
  <c r="B646" i="1"/>
  <c r="G646" i="1"/>
  <c r="A647" i="1"/>
  <c r="B647" i="1"/>
  <c r="G647" i="1"/>
  <c r="A648" i="1"/>
  <c r="B648" i="1"/>
  <c r="G648" i="1"/>
  <c r="A649" i="1"/>
  <c r="B649" i="1"/>
  <c r="G649" i="1"/>
  <c r="A650" i="1"/>
  <c r="B650" i="1"/>
  <c r="G650" i="1"/>
  <c r="A651" i="1"/>
  <c r="B651" i="1"/>
  <c r="G651" i="1"/>
  <c r="A652" i="1"/>
  <c r="B652" i="1"/>
  <c r="G652" i="1"/>
  <c r="A653" i="1"/>
  <c r="B653" i="1"/>
  <c r="G653" i="1"/>
  <c r="A654" i="1"/>
  <c r="B654" i="1"/>
  <c r="G654" i="1"/>
  <c r="A655" i="1"/>
  <c r="B655" i="1"/>
  <c r="G655" i="1"/>
  <c r="A656" i="1"/>
  <c r="B656" i="1"/>
  <c r="G656" i="1"/>
  <c r="A657" i="1"/>
  <c r="B657" i="1"/>
  <c r="G657" i="1"/>
  <c r="A658" i="1"/>
  <c r="B658" i="1"/>
  <c r="G658" i="1"/>
  <c r="A659" i="1"/>
  <c r="B659" i="1"/>
  <c r="G659" i="1"/>
  <c r="A660" i="1"/>
  <c r="B660" i="1"/>
  <c r="G660" i="1"/>
  <c r="A661" i="1"/>
  <c r="B661" i="1"/>
  <c r="G661" i="1"/>
  <c r="A662" i="1"/>
  <c r="B662" i="1"/>
  <c r="G662" i="1"/>
  <c r="A663" i="1"/>
  <c r="B663" i="1"/>
  <c r="G663" i="1"/>
  <c r="A664" i="1"/>
  <c r="B664" i="1"/>
  <c r="G664" i="1"/>
  <c r="A665" i="1"/>
  <c r="B665" i="1"/>
  <c r="G665" i="1"/>
  <c r="A666" i="1"/>
  <c r="B666" i="1"/>
  <c r="G666" i="1"/>
  <c r="A667" i="1"/>
  <c r="B667" i="1"/>
  <c r="G667" i="1"/>
  <c r="A668" i="1"/>
  <c r="B668" i="1"/>
  <c r="G668" i="1"/>
  <c r="A669" i="1"/>
  <c r="B669" i="1"/>
  <c r="G669" i="1"/>
  <c r="A670" i="1"/>
  <c r="B670" i="1"/>
  <c r="G670" i="1"/>
  <c r="A671" i="1"/>
  <c r="B671" i="1"/>
  <c r="G671" i="1"/>
  <c r="A672" i="1"/>
  <c r="B672" i="1"/>
  <c r="G672" i="1"/>
  <c r="A673" i="1"/>
  <c r="B673" i="1"/>
  <c r="G673" i="1"/>
  <c r="A674" i="1"/>
  <c r="B674" i="1"/>
  <c r="G674" i="1"/>
  <c r="A675" i="1"/>
  <c r="B675" i="1"/>
  <c r="G675" i="1"/>
  <c r="A676" i="1"/>
  <c r="B676" i="1"/>
  <c r="G676" i="1"/>
  <c r="A677" i="1"/>
  <c r="B677" i="1"/>
  <c r="G677" i="1"/>
  <c r="A678" i="1"/>
  <c r="B678" i="1"/>
  <c r="G678" i="1"/>
  <c r="A679" i="1"/>
  <c r="B679" i="1"/>
  <c r="G679" i="1"/>
  <c r="A680" i="1"/>
  <c r="B680" i="1"/>
  <c r="G680" i="1"/>
  <c r="A681" i="1"/>
  <c r="B681" i="1"/>
  <c r="G681" i="1"/>
  <c r="A682" i="1"/>
  <c r="B682" i="1"/>
  <c r="G682" i="1"/>
  <c r="A683" i="1"/>
  <c r="B683" i="1"/>
  <c r="G683" i="1"/>
  <c r="A684" i="1"/>
  <c r="B684" i="1"/>
  <c r="G684" i="1"/>
  <c r="A685" i="1"/>
  <c r="B685" i="1"/>
  <c r="G685" i="1"/>
  <c r="A686" i="1"/>
  <c r="B686" i="1"/>
  <c r="G686" i="1"/>
  <c r="A687" i="1"/>
  <c r="B687" i="1"/>
  <c r="G687" i="1"/>
  <c r="A688" i="1"/>
  <c r="B688" i="1"/>
  <c r="G688" i="1"/>
  <c r="A689" i="1"/>
  <c r="B689" i="1"/>
  <c r="G689" i="1"/>
  <c r="A690" i="1"/>
  <c r="B690" i="1"/>
  <c r="G690" i="1"/>
  <c r="A691" i="1"/>
  <c r="B691" i="1"/>
  <c r="G691" i="1"/>
  <c r="A692" i="1"/>
  <c r="B692" i="1"/>
  <c r="G692" i="1"/>
  <c r="A693" i="1"/>
  <c r="B693" i="1"/>
  <c r="G693" i="1"/>
  <c r="A694" i="1"/>
  <c r="B694" i="1"/>
  <c r="G694" i="1"/>
  <c r="A695" i="1"/>
  <c r="B695" i="1"/>
  <c r="G695" i="1"/>
  <c r="A696" i="1"/>
  <c r="B696" i="1"/>
  <c r="G696" i="1"/>
  <c r="A697" i="1"/>
  <c r="B697" i="1"/>
  <c r="G697" i="1"/>
  <c r="A698" i="1"/>
  <c r="B698" i="1"/>
  <c r="G698" i="1"/>
  <c r="A699" i="1"/>
  <c r="B699" i="1"/>
  <c r="G699" i="1"/>
  <c r="A700" i="1"/>
  <c r="B700" i="1"/>
  <c r="G700" i="1"/>
  <c r="A701" i="1"/>
  <c r="B701" i="1"/>
  <c r="G701" i="1"/>
  <c r="A702" i="1"/>
  <c r="B702" i="1"/>
  <c r="G702" i="1"/>
  <c r="A703" i="1"/>
  <c r="B703" i="1"/>
  <c r="G703" i="1"/>
  <c r="A704" i="1"/>
  <c r="B704" i="1"/>
  <c r="G704" i="1"/>
  <c r="A705" i="1"/>
  <c r="B705" i="1"/>
  <c r="G705" i="1"/>
  <c r="A706" i="1"/>
  <c r="B706" i="1"/>
  <c r="G706" i="1"/>
  <c r="A707" i="1"/>
  <c r="B707" i="1"/>
  <c r="G707" i="1"/>
  <c r="A708" i="1"/>
  <c r="B708" i="1"/>
  <c r="G708" i="1"/>
  <c r="A709" i="1"/>
  <c r="B709" i="1"/>
  <c r="G709" i="1"/>
  <c r="A710" i="1"/>
  <c r="B710" i="1"/>
  <c r="G710" i="1"/>
  <c r="A711" i="1"/>
  <c r="B711" i="1"/>
  <c r="G711" i="1"/>
  <c r="A712" i="1"/>
  <c r="B712" i="1"/>
  <c r="G712" i="1"/>
  <c r="A713" i="1"/>
  <c r="B713" i="1"/>
  <c r="G713" i="1"/>
  <c r="A714" i="1"/>
  <c r="B714" i="1"/>
  <c r="G714" i="1"/>
  <c r="A715" i="1"/>
  <c r="B715" i="1"/>
  <c r="G715" i="1"/>
  <c r="A716" i="1"/>
  <c r="B716" i="1"/>
  <c r="G716" i="1"/>
  <c r="A717" i="1"/>
  <c r="B717" i="1"/>
  <c r="G717" i="1"/>
  <c r="A718" i="1"/>
  <c r="B718" i="1"/>
  <c r="G718" i="1"/>
  <c r="A719" i="1"/>
  <c r="B719" i="1"/>
  <c r="G719" i="1"/>
  <c r="A720" i="1"/>
  <c r="B720" i="1"/>
  <c r="G720" i="1"/>
  <c r="A721" i="1"/>
  <c r="B721" i="1"/>
  <c r="G721" i="1"/>
  <c r="A722" i="1"/>
  <c r="B722" i="1"/>
  <c r="G722" i="1"/>
  <c r="A723" i="1"/>
  <c r="B723" i="1"/>
  <c r="G723" i="1"/>
  <c r="A724" i="1"/>
  <c r="B724" i="1"/>
  <c r="G724" i="1"/>
  <c r="A725" i="1"/>
  <c r="B725" i="1"/>
  <c r="G725" i="1"/>
  <c r="A726" i="1"/>
  <c r="B726" i="1"/>
  <c r="G726" i="1"/>
  <c r="A727" i="1"/>
  <c r="B727" i="1"/>
  <c r="G727" i="1"/>
  <c r="A728" i="1"/>
  <c r="B728" i="1"/>
  <c r="G728" i="1"/>
  <c r="A729" i="1"/>
  <c r="B729" i="1"/>
  <c r="G729" i="1"/>
  <c r="A730" i="1"/>
  <c r="B730" i="1"/>
  <c r="G730" i="1"/>
  <c r="A731" i="1"/>
  <c r="B731" i="1"/>
  <c r="G731" i="1"/>
  <c r="A732" i="1"/>
  <c r="B732" i="1"/>
  <c r="G732" i="1"/>
  <c r="A733" i="1"/>
  <c r="B733" i="1"/>
  <c r="G733" i="1"/>
  <c r="A734" i="1"/>
  <c r="B734" i="1"/>
  <c r="G734" i="1"/>
  <c r="A735" i="1"/>
  <c r="B735" i="1"/>
  <c r="G735" i="1"/>
  <c r="A736" i="1"/>
  <c r="B736" i="1"/>
  <c r="G736" i="1"/>
  <c r="A737" i="1"/>
  <c r="B737" i="1"/>
  <c r="G737" i="1"/>
  <c r="A738" i="1"/>
  <c r="B738" i="1"/>
  <c r="G738" i="1"/>
  <c r="A739" i="1"/>
  <c r="B739" i="1"/>
  <c r="G739" i="1"/>
  <c r="A740" i="1"/>
  <c r="B740" i="1"/>
  <c r="G740" i="1"/>
  <c r="A741" i="1"/>
  <c r="B741" i="1"/>
  <c r="G741" i="1"/>
  <c r="A742" i="1"/>
  <c r="B742" i="1"/>
  <c r="G742" i="1"/>
  <c r="A743" i="1"/>
  <c r="B743" i="1"/>
  <c r="G743" i="1"/>
  <c r="A744" i="1"/>
  <c r="B744" i="1"/>
  <c r="G744" i="1"/>
  <c r="A745" i="1"/>
  <c r="B745" i="1"/>
  <c r="G745" i="1"/>
  <c r="A746" i="1"/>
  <c r="B746" i="1"/>
  <c r="G746" i="1"/>
  <c r="A747" i="1"/>
  <c r="B747" i="1"/>
  <c r="G747" i="1"/>
  <c r="A748" i="1"/>
  <c r="B748" i="1"/>
  <c r="G748" i="1"/>
  <c r="A749" i="1"/>
  <c r="B749" i="1"/>
  <c r="G749" i="1"/>
  <c r="A750" i="1"/>
  <c r="B750" i="1"/>
  <c r="G750" i="1"/>
  <c r="A751" i="1"/>
  <c r="B751" i="1"/>
  <c r="G751" i="1"/>
  <c r="A752" i="1"/>
  <c r="B752" i="1"/>
  <c r="G752" i="1"/>
  <c r="A753" i="1"/>
  <c r="B753" i="1"/>
  <c r="G753" i="1"/>
  <c r="A754" i="1"/>
  <c r="B754" i="1"/>
  <c r="G754" i="1"/>
  <c r="A755" i="1"/>
  <c r="B755" i="1"/>
  <c r="G755" i="1"/>
  <c r="A756" i="1"/>
  <c r="B756" i="1"/>
  <c r="G756" i="1"/>
  <c r="A757" i="1"/>
  <c r="B757" i="1"/>
  <c r="G757" i="1"/>
  <c r="A758" i="1"/>
  <c r="B758" i="1"/>
  <c r="G758" i="1"/>
  <c r="A759" i="1"/>
  <c r="B759" i="1"/>
  <c r="G759" i="1"/>
  <c r="A760" i="1"/>
  <c r="B760" i="1"/>
  <c r="G760" i="1"/>
  <c r="A761" i="1"/>
  <c r="B761" i="1"/>
  <c r="G761" i="1"/>
  <c r="A762" i="1"/>
  <c r="B762" i="1"/>
  <c r="G762" i="1"/>
  <c r="A763" i="1"/>
  <c r="B763" i="1"/>
  <c r="G763" i="1"/>
  <c r="A764" i="1"/>
  <c r="B764" i="1"/>
  <c r="G764" i="1"/>
  <c r="A765" i="1"/>
  <c r="B765" i="1"/>
  <c r="G765" i="1"/>
  <c r="A766" i="1"/>
  <c r="B766" i="1"/>
  <c r="G766" i="1"/>
  <c r="A767" i="1"/>
  <c r="B767" i="1"/>
  <c r="G767" i="1"/>
  <c r="A768" i="1"/>
  <c r="B768" i="1"/>
  <c r="G768" i="1"/>
  <c r="A769" i="1"/>
  <c r="B769" i="1"/>
  <c r="G769" i="1"/>
  <c r="A770" i="1"/>
  <c r="B770" i="1"/>
  <c r="G770" i="1"/>
  <c r="A771" i="1"/>
  <c r="B771" i="1"/>
  <c r="G771" i="1"/>
  <c r="A772" i="1"/>
  <c r="B772" i="1"/>
  <c r="G772" i="1"/>
  <c r="A773" i="1"/>
  <c r="B773" i="1"/>
  <c r="G773" i="1"/>
  <c r="A774" i="1"/>
  <c r="B774" i="1"/>
  <c r="G774" i="1"/>
  <c r="A775" i="1"/>
  <c r="B775" i="1"/>
  <c r="G775" i="1"/>
  <c r="A776" i="1"/>
  <c r="B776" i="1"/>
  <c r="G776" i="1"/>
  <c r="A777" i="1"/>
  <c r="B777" i="1"/>
  <c r="G777" i="1"/>
  <c r="A778" i="1"/>
  <c r="B778" i="1"/>
  <c r="G778" i="1"/>
  <c r="A779" i="1"/>
  <c r="B779" i="1"/>
  <c r="G779" i="1"/>
  <c r="A780" i="1"/>
  <c r="B780" i="1"/>
  <c r="G780" i="1"/>
  <c r="A781" i="1"/>
  <c r="B781" i="1"/>
  <c r="G781" i="1"/>
  <c r="A782" i="1"/>
  <c r="B782" i="1"/>
  <c r="G782" i="1"/>
  <c r="A783" i="1"/>
  <c r="B783" i="1"/>
  <c r="G783" i="1"/>
  <c r="A784" i="1"/>
  <c r="B784" i="1"/>
  <c r="G784" i="1"/>
  <c r="A785" i="1"/>
  <c r="B785" i="1"/>
  <c r="G785" i="1"/>
  <c r="A786" i="1"/>
  <c r="B786" i="1"/>
  <c r="G786" i="1"/>
  <c r="A787" i="1"/>
  <c r="B787" i="1"/>
  <c r="G787" i="1"/>
  <c r="A788" i="1"/>
  <c r="B788" i="1"/>
  <c r="G788" i="1"/>
  <c r="A789" i="1"/>
  <c r="B789" i="1"/>
  <c r="G789" i="1"/>
  <c r="A790" i="1"/>
  <c r="B790" i="1"/>
  <c r="G790" i="1"/>
  <c r="A791" i="1"/>
  <c r="B791" i="1"/>
  <c r="G791" i="1"/>
  <c r="A792" i="1"/>
  <c r="B792" i="1"/>
  <c r="G792" i="1"/>
  <c r="A793" i="1"/>
  <c r="B793" i="1"/>
  <c r="G793" i="1"/>
  <c r="A794" i="1"/>
  <c r="B794" i="1"/>
  <c r="G794" i="1"/>
  <c r="A795" i="1"/>
  <c r="B795" i="1"/>
  <c r="G795" i="1"/>
  <c r="A796" i="1"/>
  <c r="B796" i="1"/>
  <c r="G796" i="1"/>
  <c r="A797" i="1"/>
  <c r="B797" i="1"/>
  <c r="G797" i="1"/>
  <c r="A798" i="1"/>
  <c r="B798" i="1"/>
  <c r="G798" i="1"/>
  <c r="A799" i="1"/>
  <c r="B799" i="1"/>
  <c r="G799" i="1"/>
  <c r="A800" i="1"/>
  <c r="B800" i="1"/>
  <c r="G800" i="1"/>
  <c r="A801" i="1"/>
  <c r="B801" i="1"/>
  <c r="G801" i="1"/>
  <c r="A802" i="1"/>
  <c r="B802" i="1"/>
  <c r="G802" i="1"/>
  <c r="A803" i="1"/>
  <c r="B803" i="1"/>
  <c r="G803" i="1"/>
  <c r="A804" i="1"/>
  <c r="B804" i="1"/>
  <c r="G804" i="1"/>
  <c r="A805" i="1"/>
  <c r="B805" i="1"/>
  <c r="G805" i="1"/>
  <c r="A806" i="1"/>
  <c r="B806" i="1"/>
  <c r="G806" i="1"/>
  <c r="A807" i="1"/>
  <c r="B807" i="1"/>
  <c r="G807" i="1"/>
  <c r="A808" i="1"/>
  <c r="B808" i="1"/>
  <c r="G808" i="1"/>
  <c r="A809" i="1"/>
  <c r="B809" i="1"/>
  <c r="G809" i="1"/>
  <c r="A810" i="1"/>
  <c r="B810" i="1"/>
  <c r="G810" i="1"/>
  <c r="A811" i="1"/>
  <c r="B811" i="1"/>
  <c r="G811" i="1"/>
  <c r="A812" i="1"/>
  <c r="B812" i="1"/>
  <c r="G812" i="1"/>
  <c r="A813" i="1"/>
  <c r="B813" i="1"/>
  <c r="G813" i="1"/>
  <c r="A814" i="1"/>
  <c r="B814" i="1"/>
  <c r="G814" i="1"/>
  <c r="A815" i="1"/>
  <c r="B815" i="1"/>
  <c r="G815" i="1"/>
  <c r="A816" i="1"/>
  <c r="B816" i="1"/>
  <c r="G816" i="1"/>
  <c r="A817" i="1"/>
  <c r="B817" i="1"/>
  <c r="G817" i="1"/>
  <c r="A818" i="1"/>
  <c r="B818" i="1"/>
  <c r="G818" i="1"/>
  <c r="A819" i="1"/>
  <c r="B819" i="1"/>
  <c r="G819" i="1"/>
  <c r="A820" i="1"/>
  <c r="B820" i="1"/>
  <c r="G820" i="1"/>
  <c r="A821" i="1"/>
  <c r="B821" i="1"/>
  <c r="G821" i="1"/>
  <c r="A822" i="1"/>
  <c r="B822" i="1"/>
  <c r="G822" i="1"/>
  <c r="A823" i="1"/>
  <c r="B823" i="1"/>
  <c r="G823" i="1"/>
  <c r="A824" i="1"/>
  <c r="B824" i="1"/>
  <c r="G824" i="1"/>
  <c r="A825" i="1"/>
  <c r="B825" i="1"/>
  <c r="G825" i="1"/>
  <c r="A826" i="1"/>
  <c r="B826" i="1"/>
  <c r="G826" i="1"/>
  <c r="A827" i="1"/>
  <c r="B827" i="1"/>
  <c r="G827" i="1"/>
  <c r="A828" i="1"/>
  <c r="B828" i="1"/>
  <c r="G828" i="1"/>
  <c r="A829" i="1"/>
  <c r="B829" i="1"/>
  <c r="G829" i="1"/>
  <c r="A830" i="1"/>
  <c r="B830" i="1"/>
  <c r="G830" i="1"/>
  <c r="A831" i="1"/>
  <c r="B831" i="1"/>
  <c r="G831" i="1"/>
  <c r="A832" i="1"/>
  <c r="B832" i="1"/>
  <c r="G832" i="1"/>
  <c r="A833" i="1"/>
  <c r="B833" i="1"/>
  <c r="G833" i="1"/>
  <c r="A834" i="1"/>
  <c r="B834" i="1"/>
  <c r="G834" i="1"/>
  <c r="A835" i="1"/>
  <c r="B835" i="1"/>
  <c r="G835" i="1"/>
  <c r="A836" i="1"/>
  <c r="B836" i="1"/>
  <c r="G836" i="1"/>
  <c r="A837" i="1"/>
  <c r="B837" i="1"/>
  <c r="G837" i="1"/>
  <c r="A838" i="1"/>
  <c r="B838" i="1"/>
  <c r="G838" i="1"/>
  <c r="A839" i="1"/>
  <c r="B839" i="1"/>
  <c r="G839" i="1"/>
  <c r="A840" i="1"/>
  <c r="B840" i="1"/>
  <c r="G840" i="1"/>
  <c r="A841" i="1"/>
  <c r="B841" i="1"/>
  <c r="G841" i="1"/>
  <c r="A842" i="1"/>
  <c r="B842" i="1"/>
  <c r="G842" i="1"/>
  <c r="A843" i="1"/>
  <c r="B843" i="1"/>
  <c r="G843" i="1"/>
  <c r="A844" i="1"/>
  <c r="B844" i="1"/>
  <c r="G844" i="1"/>
  <c r="A845" i="1"/>
  <c r="B845" i="1"/>
  <c r="G845" i="1"/>
  <c r="A846" i="1"/>
  <c r="B846" i="1"/>
  <c r="G846" i="1"/>
  <c r="A847" i="1"/>
  <c r="B847" i="1"/>
  <c r="G847" i="1"/>
  <c r="A848" i="1"/>
  <c r="B848" i="1"/>
  <c r="G848" i="1"/>
  <c r="A849" i="1"/>
  <c r="B849" i="1"/>
  <c r="G849" i="1"/>
  <c r="A850" i="1"/>
  <c r="B850" i="1"/>
  <c r="G850" i="1"/>
  <c r="A851" i="1"/>
  <c r="B851" i="1"/>
  <c r="G851" i="1"/>
  <c r="A852" i="1"/>
  <c r="B852" i="1"/>
  <c r="G852" i="1"/>
  <c r="A853" i="1"/>
  <c r="B853" i="1"/>
  <c r="G853" i="1"/>
  <c r="A854" i="1"/>
  <c r="B854" i="1"/>
  <c r="G854" i="1"/>
  <c r="A855" i="1"/>
  <c r="B855" i="1"/>
  <c r="G855" i="1"/>
  <c r="A856" i="1"/>
  <c r="B856" i="1"/>
  <c r="G856" i="1"/>
  <c r="A857" i="1"/>
  <c r="B857" i="1"/>
  <c r="G857" i="1"/>
  <c r="A858" i="1"/>
  <c r="B858" i="1"/>
  <c r="G858" i="1"/>
  <c r="A859" i="1"/>
  <c r="B859" i="1"/>
  <c r="G859" i="1"/>
  <c r="A860" i="1"/>
  <c r="B860" i="1"/>
  <c r="G860" i="1"/>
  <c r="A861" i="1"/>
  <c r="B861" i="1"/>
  <c r="G861" i="1"/>
  <c r="A862" i="1"/>
  <c r="B862" i="1"/>
  <c r="G862" i="1"/>
  <c r="A863" i="1"/>
  <c r="B863" i="1"/>
  <c r="G863" i="1"/>
  <c r="A864" i="1"/>
  <c r="B864" i="1"/>
  <c r="G864" i="1"/>
  <c r="A865" i="1"/>
  <c r="B865" i="1"/>
  <c r="G865" i="1"/>
  <c r="A866" i="1"/>
  <c r="B866" i="1"/>
  <c r="G866" i="1"/>
  <c r="A867" i="1"/>
  <c r="B867" i="1"/>
  <c r="G867" i="1"/>
  <c r="A868" i="1"/>
  <c r="B868" i="1"/>
  <c r="G868" i="1"/>
  <c r="A869" i="1"/>
  <c r="B869" i="1"/>
  <c r="G869" i="1"/>
  <c r="A870" i="1"/>
  <c r="B870" i="1"/>
  <c r="G870" i="1"/>
  <c r="A871" i="1"/>
  <c r="B871" i="1"/>
  <c r="G871" i="1"/>
  <c r="A872" i="1"/>
  <c r="B872" i="1"/>
  <c r="G872" i="1"/>
  <c r="A873" i="1"/>
  <c r="B873" i="1"/>
  <c r="G873" i="1"/>
  <c r="A874" i="1"/>
  <c r="B874" i="1"/>
  <c r="G874" i="1"/>
  <c r="A875" i="1"/>
  <c r="B875" i="1"/>
  <c r="G875" i="1"/>
  <c r="A876" i="1"/>
  <c r="B876" i="1"/>
  <c r="G876" i="1"/>
  <c r="A877" i="1"/>
  <c r="B877" i="1"/>
  <c r="G877" i="1"/>
  <c r="A878" i="1"/>
  <c r="B878" i="1"/>
  <c r="G878" i="1"/>
  <c r="A879" i="1"/>
  <c r="B879" i="1"/>
  <c r="G879" i="1"/>
  <c r="A880" i="1"/>
  <c r="B880" i="1"/>
  <c r="G880" i="1"/>
  <c r="A881" i="1"/>
  <c r="B881" i="1"/>
  <c r="G881" i="1"/>
  <c r="A882" i="1"/>
  <c r="B882" i="1"/>
  <c r="G882" i="1"/>
  <c r="A883" i="1"/>
  <c r="B883" i="1"/>
  <c r="G883" i="1"/>
  <c r="A884" i="1"/>
  <c r="B884" i="1"/>
  <c r="G884" i="1"/>
  <c r="A885" i="1"/>
  <c r="B885" i="1"/>
  <c r="G885" i="1"/>
  <c r="A886" i="1"/>
  <c r="B886" i="1"/>
  <c r="G886" i="1"/>
  <c r="A887" i="1"/>
  <c r="B887" i="1"/>
  <c r="G887" i="1"/>
  <c r="A888" i="1"/>
  <c r="B888" i="1"/>
  <c r="G888" i="1"/>
  <c r="A889" i="1"/>
  <c r="B889" i="1"/>
  <c r="G889" i="1"/>
  <c r="A890" i="1"/>
  <c r="B890" i="1"/>
  <c r="G890" i="1"/>
  <c r="A891" i="1"/>
  <c r="B891" i="1"/>
  <c r="G891" i="1"/>
  <c r="A892" i="1"/>
  <c r="B892" i="1"/>
  <c r="G892" i="1"/>
  <c r="A893" i="1"/>
  <c r="B893" i="1"/>
  <c r="G893" i="1"/>
  <c r="A894" i="1"/>
  <c r="B894" i="1"/>
  <c r="G894" i="1"/>
  <c r="A895" i="1"/>
  <c r="B895" i="1"/>
  <c r="G895" i="1"/>
  <c r="A896" i="1"/>
  <c r="B896" i="1"/>
  <c r="G896" i="1"/>
  <c r="A897" i="1"/>
  <c r="B897" i="1"/>
  <c r="G897" i="1"/>
  <c r="A898" i="1"/>
  <c r="B898" i="1"/>
  <c r="G898" i="1"/>
  <c r="A899" i="1"/>
  <c r="B899" i="1"/>
  <c r="G899" i="1"/>
  <c r="A900" i="1"/>
  <c r="B900" i="1"/>
  <c r="G900" i="1"/>
  <c r="A901" i="1"/>
  <c r="B901" i="1"/>
  <c r="G901" i="1"/>
  <c r="A902" i="1"/>
  <c r="B902" i="1"/>
  <c r="G902" i="1"/>
  <c r="A903" i="1"/>
  <c r="B903" i="1"/>
  <c r="G903" i="1"/>
  <c r="A904" i="1"/>
  <c r="B904" i="1"/>
  <c r="G904" i="1"/>
  <c r="A905" i="1"/>
  <c r="B905" i="1"/>
  <c r="G905" i="1"/>
  <c r="A906" i="1"/>
  <c r="B906" i="1"/>
  <c r="G906" i="1"/>
  <c r="A907" i="1"/>
  <c r="B907" i="1"/>
  <c r="G907" i="1"/>
  <c r="A908" i="1"/>
  <c r="B908" i="1"/>
  <c r="G908" i="1"/>
  <c r="A909" i="1"/>
  <c r="B909" i="1"/>
  <c r="G909" i="1"/>
  <c r="A910" i="1"/>
  <c r="B910" i="1"/>
  <c r="G910" i="1"/>
  <c r="A911" i="1"/>
  <c r="B911" i="1"/>
  <c r="G911" i="1"/>
  <c r="A912" i="1"/>
  <c r="B912" i="1"/>
  <c r="G912" i="1"/>
  <c r="A913" i="1"/>
  <c r="B913" i="1"/>
  <c r="G913" i="1"/>
  <c r="A914" i="1"/>
  <c r="B914" i="1"/>
  <c r="G914" i="1"/>
  <c r="A915" i="1"/>
  <c r="B915" i="1"/>
  <c r="G915" i="1"/>
  <c r="A916" i="1"/>
  <c r="B916" i="1"/>
  <c r="G916" i="1"/>
  <c r="A917" i="1"/>
  <c r="B917" i="1"/>
  <c r="G917" i="1"/>
  <c r="A918" i="1"/>
  <c r="B918" i="1"/>
  <c r="G918" i="1"/>
  <c r="A919" i="1"/>
  <c r="B919" i="1"/>
  <c r="G919" i="1"/>
  <c r="A920" i="1"/>
  <c r="B920" i="1"/>
  <c r="G920" i="1"/>
  <c r="A921" i="1"/>
  <c r="B921" i="1"/>
  <c r="G921" i="1"/>
  <c r="A922" i="1"/>
  <c r="B922" i="1"/>
  <c r="G922" i="1"/>
  <c r="A923" i="1"/>
  <c r="B923" i="1"/>
  <c r="G923" i="1"/>
  <c r="A924" i="1"/>
  <c r="B924" i="1"/>
  <c r="G924" i="1"/>
  <c r="A925" i="1"/>
  <c r="B925" i="1"/>
  <c r="G925" i="1"/>
  <c r="A926" i="1"/>
  <c r="B926" i="1"/>
  <c r="G926" i="1"/>
  <c r="A927" i="1"/>
  <c r="B927" i="1"/>
  <c r="G927" i="1"/>
  <c r="A928" i="1"/>
  <c r="B928" i="1"/>
  <c r="G928" i="1"/>
  <c r="A929" i="1"/>
  <c r="B929" i="1"/>
  <c r="G929" i="1"/>
  <c r="A930" i="1"/>
  <c r="B930" i="1"/>
  <c r="G930" i="1"/>
  <c r="A931" i="1"/>
  <c r="B931" i="1"/>
  <c r="G931" i="1"/>
  <c r="A932" i="1"/>
  <c r="B932" i="1"/>
  <c r="G932" i="1"/>
  <c r="A933" i="1"/>
  <c r="B933" i="1"/>
  <c r="G933" i="1"/>
  <c r="A934" i="1"/>
  <c r="B934" i="1"/>
  <c r="G934" i="1"/>
  <c r="A935" i="1"/>
  <c r="B935" i="1"/>
  <c r="G935" i="1"/>
  <c r="A936" i="1"/>
  <c r="B936" i="1"/>
  <c r="G936" i="1"/>
  <c r="A937" i="1"/>
  <c r="B937" i="1"/>
  <c r="G937" i="1"/>
  <c r="A938" i="1"/>
  <c r="B938" i="1"/>
  <c r="G938" i="1"/>
  <c r="A939" i="1"/>
  <c r="B939" i="1"/>
  <c r="G939" i="1"/>
  <c r="A940" i="1"/>
  <c r="B940" i="1"/>
  <c r="G940" i="1"/>
  <c r="A941" i="1"/>
  <c r="B941" i="1"/>
  <c r="G941" i="1"/>
  <c r="A942" i="1"/>
  <c r="B942" i="1"/>
  <c r="G942" i="1"/>
  <c r="A943" i="1"/>
  <c r="B943" i="1"/>
  <c r="G943" i="1"/>
  <c r="A944" i="1"/>
  <c r="B944" i="1"/>
  <c r="G944" i="1"/>
  <c r="A945" i="1"/>
  <c r="B945" i="1"/>
  <c r="G945" i="1"/>
  <c r="A946" i="1"/>
  <c r="B946" i="1"/>
  <c r="G946" i="1"/>
  <c r="A947" i="1"/>
  <c r="B947" i="1"/>
  <c r="G947" i="1"/>
  <c r="A948" i="1"/>
  <c r="B948" i="1"/>
  <c r="G948" i="1"/>
  <c r="A949" i="1"/>
  <c r="B949" i="1"/>
  <c r="G949" i="1"/>
  <c r="A950" i="1"/>
  <c r="B950" i="1"/>
  <c r="G950" i="1"/>
  <c r="A951" i="1"/>
  <c r="B951" i="1"/>
  <c r="G951" i="1"/>
  <c r="A952" i="1"/>
  <c r="B952" i="1"/>
  <c r="G952" i="1"/>
  <c r="A953" i="1"/>
  <c r="B953" i="1"/>
  <c r="G953" i="1"/>
  <c r="A954" i="1"/>
  <c r="B954" i="1"/>
  <c r="G954" i="1"/>
  <c r="A955" i="1"/>
  <c r="B955" i="1"/>
  <c r="G955" i="1"/>
  <c r="A956" i="1"/>
  <c r="B956" i="1"/>
  <c r="G956" i="1"/>
  <c r="A957" i="1"/>
  <c r="B957" i="1"/>
  <c r="G957" i="1"/>
  <c r="A958" i="1"/>
  <c r="B958" i="1"/>
  <c r="G958" i="1"/>
  <c r="A959" i="1"/>
  <c r="B959" i="1"/>
  <c r="G959" i="1"/>
  <c r="A960" i="1"/>
  <c r="B960" i="1"/>
  <c r="G960" i="1"/>
  <c r="A961" i="1"/>
  <c r="B961" i="1"/>
  <c r="G961" i="1"/>
  <c r="A962" i="1"/>
  <c r="B962" i="1"/>
  <c r="G962" i="1"/>
  <c r="A963" i="1"/>
  <c r="B963" i="1"/>
  <c r="G963" i="1"/>
  <c r="A964" i="1"/>
  <c r="B964" i="1"/>
  <c r="G964" i="1"/>
  <c r="A965" i="1"/>
  <c r="B965" i="1"/>
  <c r="G965" i="1"/>
  <c r="A966" i="1"/>
  <c r="B966" i="1"/>
  <c r="G966" i="1"/>
  <c r="A967" i="1"/>
  <c r="B967" i="1"/>
  <c r="G967" i="1"/>
  <c r="A968" i="1"/>
  <c r="B968" i="1"/>
  <c r="G968" i="1"/>
  <c r="A969" i="1"/>
  <c r="B969" i="1"/>
  <c r="G969" i="1"/>
  <c r="A970" i="1"/>
  <c r="B970" i="1"/>
  <c r="G970" i="1"/>
  <c r="A971" i="1"/>
  <c r="B971" i="1"/>
  <c r="G971" i="1"/>
  <c r="A972" i="1"/>
  <c r="B972" i="1"/>
  <c r="G972" i="1"/>
  <c r="A973" i="1"/>
  <c r="B973" i="1"/>
  <c r="G973" i="1"/>
  <c r="A974" i="1"/>
  <c r="B974" i="1"/>
  <c r="G974" i="1"/>
  <c r="A975" i="1"/>
  <c r="B975" i="1"/>
  <c r="G975" i="1"/>
  <c r="A976" i="1"/>
  <c r="B976" i="1"/>
  <c r="G976" i="1"/>
  <c r="A977" i="1"/>
  <c r="B977" i="1"/>
  <c r="G977" i="1"/>
  <c r="A978" i="1"/>
  <c r="B978" i="1"/>
  <c r="G978" i="1"/>
  <c r="A979" i="1"/>
  <c r="B979" i="1"/>
  <c r="G979" i="1"/>
  <c r="A980" i="1"/>
  <c r="B980" i="1"/>
  <c r="G980" i="1"/>
  <c r="A981" i="1"/>
  <c r="B981" i="1"/>
  <c r="G981" i="1"/>
  <c r="A982" i="1"/>
  <c r="B982" i="1"/>
  <c r="G982" i="1"/>
  <c r="A983" i="1"/>
  <c r="B983" i="1"/>
  <c r="G983" i="1"/>
  <c r="A984" i="1"/>
  <c r="B984" i="1"/>
  <c r="G984" i="1"/>
  <c r="A985" i="1"/>
  <c r="B985" i="1"/>
  <c r="G985" i="1"/>
  <c r="A986" i="1"/>
  <c r="B986" i="1"/>
  <c r="G986" i="1"/>
  <c r="A987" i="1"/>
  <c r="B987" i="1"/>
  <c r="G987" i="1"/>
  <c r="A988" i="1"/>
  <c r="B988" i="1"/>
  <c r="G988" i="1"/>
  <c r="A989" i="1"/>
  <c r="B989" i="1"/>
  <c r="G989" i="1"/>
  <c r="A990" i="1"/>
  <c r="B990" i="1"/>
  <c r="G990" i="1"/>
  <c r="A991" i="1"/>
  <c r="B991" i="1"/>
  <c r="G991" i="1"/>
  <c r="A992" i="1"/>
  <c r="B992" i="1"/>
  <c r="G992" i="1"/>
  <c r="A993" i="1"/>
  <c r="B993" i="1"/>
  <c r="G993" i="1"/>
  <c r="A994" i="1"/>
  <c r="B994" i="1"/>
  <c r="G994" i="1"/>
  <c r="A995" i="1"/>
  <c r="B995" i="1"/>
  <c r="G995" i="1"/>
  <c r="A996" i="1"/>
  <c r="B996" i="1"/>
  <c r="G996" i="1"/>
  <c r="A997" i="1"/>
  <c r="B997" i="1"/>
  <c r="G997" i="1"/>
  <c r="A998" i="1"/>
  <c r="B998" i="1"/>
  <c r="G998" i="1"/>
  <c r="A999" i="1"/>
  <c r="B999" i="1"/>
  <c r="G999" i="1"/>
  <c r="A1000" i="1"/>
  <c r="B1000" i="1"/>
  <c r="G1000" i="1"/>
  <c r="A1001" i="1"/>
  <c r="B1001" i="1"/>
  <c r="G1001" i="1"/>
  <c r="A1002" i="1"/>
  <c r="B1002" i="1"/>
  <c r="G1002" i="1"/>
  <c r="A1003" i="1"/>
  <c r="B1003" i="1"/>
  <c r="G1003" i="1"/>
  <c r="A1004" i="1"/>
  <c r="B1004" i="1"/>
  <c r="G1004" i="1"/>
  <c r="A1005" i="1"/>
  <c r="B1005" i="1"/>
  <c r="G1005" i="1"/>
  <c r="A1006" i="1"/>
  <c r="B1006" i="1"/>
  <c r="G1006" i="1"/>
  <c r="A1007" i="1"/>
  <c r="B1007" i="1"/>
  <c r="G1007" i="1"/>
  <c r="A1008" i="1"/>
  <c r="B1008" i="1"/>
  <c r="G1008" i="1"/>
  <c r="A1009" i="1"/>
  <c r="B1009" i="1"/>
  <c r="G1009" i="1"/>
  <c r="A1010" i="1"/>
  <c r="B1010" i="1"/>
  <c r="G1010" i="1"/>
  <c r="A1011" i="1"/>
  <c r="B1011" i="1"/>
  <c r="G1011" i="1"/>
  <c r="A1012" i="1"/>
  <c r="B1012" i="1"/>
  <c r="G1012" i="1"/>
  <c r="A1013" i="1"/>
  <c r="B1013" i="1"/>
  <c r="G1013" i="1"/>
  <c r="A1014" i="1"/>
  <c r="B1014" i="1"/>
  <c r="G1014" i="1"/>
  <c r="A1015" i="1"/>
  <c r="B1015" i="1"/>
  <c r="G1015" i="1"/>
  <c r="A1016" i="1"/>
  <c r="B1016" i="1"/>
  <c r="G1016" i="1"/>
  <c r="A1017" i="1"/>
  <c r="B1017" i="1"/>
  <c r="G1017" i="1"/>
  <c r="A1018" i="1"/>
  <c r="B1018" i="1"/>
  <c r="G1018" i="1"/>
  <c r="A1019" i="1"/>
  <c r="B1019" i="1"/>
  <c r="G1019" i="1"/>
  <c r="A1020" i="1"/>
  <c r="B1020" i="1"/>
  <c r="G1020" i="1"/>
  <c r="A1021" i="1"/>
  <c r="B1021" i="1"/>
  <c r="G1021" i="1"/>
  <c r="A1022" i="1"/>
  <c r="B1022" i="1"/>
  <c r="G1022" i="1"/>
  <c r="A1023" i="1"/>
  <c r="B1023" i="1"/>
  <c r="G1023" i="1"/>
  <c r="A1024" i="1"/>
  <c r="B1024" i="1"/>
  <c r="G1024" i="1"/>
  <c r="A1025" i="1"/>
  <c r="B1025" i="1"/>
  <c r="G1025" i="1"/>
  <c r="A1026" i="1"/>
  <c r="B1026" i="1"/>
  <c r="G1026" i="1"/>
  <c r="A1027" i="1"/>
  <c r="B1027" i="1"/>
  <c r="G1027" i="1"/>
  <c r="A1028" i="1"/>
  <c r="B1028" i="1"/>
  <c r="G1028" i="1"/>
  <c r="A1029" i="1"/>
  <c r="B1029" i="1"/>
  <c r="G1029" i="1"/>
  <c r="A1030" i="1"/>
  <c r="B1030" i="1"/>
  <c r="G1030" i="1"/>
  <c r="A1031" i="1"/>
  <c r="B1031" i="1"/>
  <c r="G1031" i="1"/>
  <c r="A1032" i="1"/>
  <c r="B1032" i="1"/>
  <c r="G1032" i="1"/>
  <c r="A1033" i="1"/>
  <c r="B1033" i="1"/>
  <c r="G1033" i="1"/>
  <c r="A1034" i="1"/>
  <c r="B1034" i="1"/>
  <c r="G1034" i="1"/>
  <c r="A1035" i="1"/>
  <c r="B1035" i="1"/>
  <c r="G1035" i="1"/>
  <c r="A1036" i="1"/>
  <c r="B1036" i="1"/>
  <c r="G1036" i="1"/>
  <c r="A1037" i="1"/>
  <c r="B1037" i="1"/>
  <c r="G1037" i="1"/>
  <c r="A1038" i="1"/>
  <c r="B1038" i="1"/>
  <c r="G1038" i="1"/>
  <c r="A1039" i="1"/>
  <c r="B1039" i="1"/>
  <c r="G1039" i="1"/>
  <c r="A1040" i="1"/>
  <c r="B1040" i="1"/>
  <c r="G1040" i="1"/>
  <c r="A1041" i="1"/>
  <c r="B1041" i="1"/>
  <c r="G1041" i="1"/>
  <c r="A1042" i="1"/>
  <c r="B1042" i="1"/>
  <c r="G1042" i="1"/>
  <c r="A1043" i="1"/>
  <c r="B1043" i="1"/>
  <c r="G1043" i="1"/>
  <c r="A1044" i="1"/>
  <c r="B1044" i="1"/>
  <c r="G1044" i="1"/>
  <c r="A1045" i="1"/>
  <c r="B1045" i="1"/>
  <c r="G1045" i="1"/>
  <c r="A1046" i="1"/>
  <c r="B1046" i="1"/>
  <c r="G1046" i="1"/>
  <c r="A1047" i="1"/>
  <c r="B1047" i="1"/>
  <c r="G1047" i="1"/>
  <c r="A1048" i="1"/>
  <c r="B1048" i="1"/>
  <c r="G1048" i="1"/>
  <c r="A1049" i="1"/>
  <c r="B1049" i="1"/>
  <c r="G1049" i="1"/>
  <c r="A1050" i="1"/>
  <c r="B1050" i="1"/>
  <c r="G1050" i="1"/>
  <c r="A1051" i="1"/>
  <c r="B1051" i="1"/>
  <c r="G1051" i="1"/>
  <c r="A1052" i="1"/>
  <c r="B1052" i="1"/>
  <c r="G1052" i="1"/>
  <c r="A1053" i="1"/>
  <c r="B1053" i="1"/>
  <c r="G1053" i="1"/>
  <c r="A1054" i="1"/>
  <c r="B1054" i="1"/>
  <c r="G1054" i="1"/>
  <c r="A1055" i="1"/>
  <c r="B1055" i="1"/>
  <c r="G1055" i="1"/>
  <c r="A1056" i="1"/>
  <c r="B1056" i="1"/>
  <c r="G1056" i="1"/>
  <c r="A1057" i="1"/>
  <c r="B1057" i="1"/>
  <c r="G1057" i="1"/>
  <c r="A1058" i="1"/>
  <c r="B1058" i="1"/>
  <c r="G1058" i="1"/>
  <c r="A1059" i="1"/>
  <c r="B1059" i="1"/>
  <c r="G1059" i="1"/>
  <c r="A1060" i="1"/>
  <c r="B1060" i="1"/>
  <c r="G1060" i="1"/>
  <c r="A1061" i="1"/>
  <c r="B1061" i="1"/>
  <c r="G1061" i="1"/>
  <c r="A1062" i="1"/>
  <c r="B1062" i="1"/>
  <c r="G1062" i="1"/>
  <c r="A1063" i="1"/>
  <c r="B1063" i="1"/>
  <c r="G1063" i="1"/>
  <c r="A1064" i="1"/>
  <c r="B1064" i="1"/>
  <c r="G1064" i="1"/>
  <c r="A1065" i="1"/>
  <c r="B1065" i="1"/>
  <c r="G1065" i="1"/>
  <c r="A1066" i="1"/>
  <c r="B1066" i="1"/>
  <c r="G1066" i="1"/>
  <c r="A1067" i="1"/>
  <c r="B1067" i="1"/>
  <c r="G1067" i="1"/>
  <c r="A1068" i="1"/>
  <c r="B1068" i="1"/>
  <c r="G1068" i="1"/>
  <c r="A1069" i="1"/>
  <c r="B1069" i="1"/>
  <c r="G1069" i="1"/>
  <c r="A1070" i="1"/>
  <c r="B1070" i="1"/>
  <c r="G1070" i="1"/>
  <c r="A1071" i="1"/>
  <c r="B1071" i="1"/>
  <c r="G1071" i="1"/>
  <c r="A1072" i="1"/>
  <c r="B1072" i="1"/>
  <c r="G1072" i="1"/>
  <c r="A1073" i="1"/>
  <c r="B1073" i="1"/>
  <c r="G1073" i="1"/>
  <c r="A1074" i="1"/>
  <c r="B1074" i="1"/>
  <c r="G1074" i="1"/>
  <c r="A1075" i="1"/>
  <c r="B1075" i="1"/>
  <c r="G1075" i="1"/>
  <c r="A1076" i="1"/>
  <c r="B1076" i="1"/>
  <c r="G1076" i="1"/>
  <c r="A1077" i="1"/>
  <c r="B1077" i="1"/>
  <c r="G1077" i="1"/>
  <c r="A1078" i="1"/>
  <c r="B1078" i="1"/>
  <c r="G1078" i="1"/>
  <c r="A1079" i="1"/>
  <c r="B1079" i="1"/>
  <c r="G1079" i="1"/>
  <c r="A1080" i="1"/>
  <c r="B1080" i="1"/>
  <c r="G1080" i="1"/>
  <c r="A1081" i="1"/>
  <c r="B1081" i="1"/>
  <c r="G1081" i="1"/>
  <c r="A1082" i="1"/>
  <c r="B1082" i="1"/>
  <c r="G1082" i="1"/>
  <c r="A1083" i="1"/>
  <c r="B1083" i="1"/>
  <c r="G1083" i="1"/>
  <c r="A1084" i="1"/>
  <c r="B1084" i="1"/>
  <c r="G1084" i="1"/>
  <c r="A1085" i="1"/>
  <c r="B1085" i="1"/>
  <c r="G1085" i="1"/>
  <c r="A1086" i="1"/>
  <c r="B1086" i="1"/>
  <c r="G1086" i="1"/>
  <c r="A1087" i="1"/>
  <c r="B1087" i="1"/>
  <c r="G1087" i="1"/>
  <c r="A1088" i="1"/>
  <c r="B1088" i="1"/>
  <c r="G1088" i="1"/>
  <c r="A1089" i="1"/>
  <c r="B1089" i="1"/>
  <c r="G1089" i="1"/>
  <c r="A1090" i="1"/>
  <c r="B1090" i="1"/>
  <c r="G1090" i="1"/>
  <c r="A1091" i="1"/>
  <c r="B1091" i="1"/>
  <c r="G1091" i="1"/>
  <c r="A1092" i="1"/>
  <c r="B1092" i="1"/>
  <c r="G1092" i="1"/>
  <c r="A1093" i="1"/>
  <c r="B1093" i="1"/>
  <c r="G1093" i="1"/>
  <c r="A1094" i="1"/>
  <c r="B1094" i="1"/>
  <c r="G1094" i="1"/>
  <c r="A1095" i="1"/>
  <c r="B1095" i="1"/>
  <c r="G1095" i="1"/>
  <c r="A1096" i="1"/>
  <c r="B1096" i="1"/>
  <c r="G1096" i="1"/>
  <c r="A1097" i="1"/>
  <c r="B1097" i="1"/>
  <c r="G1097" i="1"/>
  <c r="A1098" i="1"/>
  <c r="B1098" i="1"/>
  <c r="G1098" i="1"/>
  <c r="A1099" i="1"/>
  <c r="B1099" i="1"/>
  <c r="G1099" i="1"/>
  <c r="A1100" i="1"/>
  <c r="B1100" i="1"/>
  <c r="G1100" i="1"/>
  <c r="A1101" i="1"/>
  <c r="B1101" i="1"/>
  <c r="G1101" i="1"/>
  <c r="A1102" i="1"/>
  <c r="B1102" i="1"/>
  <c r="G1102" i="1"/>
  <c r="A1103" i="1"/>
  <c r="B1103" i="1"/>
  <c r="G1103" i="1"/>
  <c r="A1104" i="1"/>
  <c r="B1104" i="1"/>
  <c r="G1104" i="1"/>
  <c r="A1105" i="1"/>
  <c r="B1105" i="1"/>
  <c r="G1105" i="1"/>
  <c r="A1106" i="1"/>
  <c r="B1106" i="1"/>
  <c r="G1106" i="1"/>
  <c r="A1107" i="1"/>
  <c r="B1107" i="1"/>
  <c r="G1107" i="1"/>
  <c r="A1108" i="1"/>
  <c r="B1108" i="1"/>
  <c r="G1108" i="1"/>
  <c r="A1109" i="1"/>
  <c r="B1109" i="1"/>
  <c r="G1109" i="1"/>
  <c r="A1110" i="1"/>
  <c r="B1110" i="1"/>
  <c r="G1110" i="1"/>
  <c r="A1111" i="1"/>
  <c r="B1111" i="1"/>
  <c r="G1111" i="1"/>
  <c r="A1112" i="1"/>
  <c r="B1112" i="1"/>
  <c r="G1112" i="1"/>
  <c r="A1113" i="1"/>
  <c r="B1113" i="1"/>
  <c r="G1113" i="1"/>
  <c r="A1114" i="1"/>
  <c r="B1114" i="1"/>
  <c r="G1114" i="1"/>
  <c r="A1115" i="1"/>
  <c r="B1115" i="1"/>
  <c r="G1115" i="1"/>
  <c r="A1116" i="1"/>
  <c r="B1116" i="1"/>
  <c r="G1116" i="1"/>
  <c r="A1117" i="1"/>
  <c r="B1117" i="1"/>
  <c r="G1117" i="1"/>
  <c r="A1118" i="1"/>
  <c r="B1118" i="1"/>
  <c r="G1118" i="1"/>
  <c r="A1119" i="1"/>
  <c r="B1119" i="1"/>
  <c r="G1119" i="1"/>
  <c r="A1120" i="1"/>
  <c r="B1120" i="1"/>
  <c r="G1120" i="1"/>
  <c r="A1121" i="1"/>
  <c r="B1121" i="1"/>
  <c r="G1121" i="1"/>
  <c r="A1122" i="1"/>
  <c r="B1122" i="1"/>
  <c r="G1122" i="1"/>
  <c r="A1123" i="1"/>
  <c r="B1123" i="1"/>
  <c r="G1123" i="1"/>
  <c r="A1124" i="1"/>
  <c r="B1124" i="1"/>
  <c r="G1124" i="1"/>
  <c r="A1125" i="1"/>
  <c r="B1125" i="1"/>
  <c r="G1125" i="1"/>
  <c r="A1126" i="1"/>
  <c r="B1126" i="1"/>
  <c r="G1126" i="1"/>
  <c r="A1127" i="1"/>
  <c r="B1127" i="1"/>
  <c r="G1127" i="1"/>
  <c r="A1128" i="1"/>
  <c r="B1128" i="1"/>
  <c r="G1128" i="1"/>
  <c r="A1129" i="1"/>
  <c r="B1129" i="1"/>
  <c r="G1129" i="1"/>
  <c r="A1130" i="1"/>
  <c r="B1130" i="1"/>
  <c r="G1130" i="1"/>
  <c r="A1131" i="1"/>
  <c r="B1131" i="1"/>
  <c r="G1131" i="1"/>
  <c r="A1132" i="1"/>
  <c r="B1132" i="1"/>
  <c r="G1132" i="1"/>
  <c r="A1133" i="1"/>
  <c r="B1133" i="1"/>
  <c r="G1133" i="1"/>
  <c r="A1134" i="1"/>
  <c r="B1134" i="1"/>
  <c r="G1134" i="1"/>
  <c r="A1135" i="1"/>
  <c r="B1135" i="1"/>
  <c r="G1135" i="1"/>
  <c r="A1136" i="1"/>
  <c r="B1136" i="1"/>
  <c r="G1136" i="1"/>
  <c r="A1137" i="1"/>
  <c r="B1137" i="1"/>
  <c r="G1137" i="1"/>
  <c r="A1138" i="1"/>
  <c r="B1138" i="1"/>
  <c r="G1138" i="1"/>
  <c r="A1139" i="1"/>
  <c r="B1139" i="1"/>
  <c r="G1139" i="1"/>
  <c r="A1140" i="1"/>
  <c r="B1140" i="1"/>
  <c r="G1140" i="1"/>
  <c r="A1141" i="1"/>
  <c r="B1141" i="1"/>
  <c r="G1141" i="1"/>
  <c r="A1142" i="1"/>
  <c r="B1142" i="1"/>
  <c r="G1142" i="1"/>
  <c r="A1143" i="1"/>
  <c r="B1143" i="1"/>
  <c r="G1143" i="1"/>
  <c r="A1144" i="1"/>
  <c r="B1144" i="1"/>
  <c r="G1144" i="1"/>
  <c r="A1145" i="1"/>
  <c r="B1145" i="1"/>
  <c r="G1145" i="1"/>
  <c r="A1146" i="1"/>
  <c r="B1146" i="1"/>
  <c r="G1146" i="1"/>
  <c r="A1147" i="1"/>
  <c r="B1147" i="1"/>
  <c r="G1147" i="1"/>
  <c r="A1148" i="1"/>
  <c r="B1148" i="1"/>
  <c r="G1148" i="1"/>
  <c r="A1149" i="1"/>
  <c r="B1149" i="1"/>
  <c r="G1149" i="1"/>
  <c r="A1150" i="1"/>
  <c r="B1150" i="1"/>
  <c r="G1150" i="1"/>
  <c r="A1151" i="1"/>
  <c r="B1151" i="1"/>
  <c r="G1151" i="1"/>
  <c r="A1152" i="1"/>
  <c r="B1152" i="1"/>
  <c r="G1152" i="1"/>
  <c r="A1153" i="1"/>
  <c r="B1153" i="1"/>
  <c r="G1153" i="1"/>
  <c r="A1154" i="1"/>
  <c r="B1154" i="1"/>
  <c r="G1154" i="1"/>
  <c r="A1155" i="1"/>
  <c r="B1155" i="1"/>
  <c r="G1155" i="1"/>
  <c r="A1156" i="1"/>
  <c r="B1156" i="1"/>
  <c r="G1156" i="1"/>
  <c r="A1157" i="1"/>
  <c r="B1157" i="1"/>
  <c r="G1157" i="1"/>
  <c r="A1158" i="1"/>
  <c r="B1158" i="1"/>
  <c r="G1158" i="1"/>
  <c r="A1159" i="1"/>
  <c r="B1159" i="1"/>
  <c r="G1159" i="1"/>
  <c r="A1160" i="1"/>
  <c r="B1160" i="1"/>
  <c r="G1160" i="1"/>
  <c r="A1161" i="1"/>
  <c r="B1161" i="1"/>
  <c r="G1161" i="1"/>
  <c r="A1162" i="1"/>
  <c r="B1162" i="1"/>
  <c r="G1162" i="1"/>
  <c r="A1163" i="1"/>
  <c r="B1163" i="1"/>
  <c r="G1163" i="1"/>
  <c r="A1164" i="1"/>
  <c r="B1164" i="1"/>
  <c r="G1164" i="1"/>
  <c r="A1165" i="1"/>
  <c r="B1165" i="1"/>
  <c r="G1165" i="1"/>
  <c r="A1166" i="1"/>
  <c r="B1166" i="1"/>
  <c r="G1166" i="1"/>
  <c r="A1167" i="1"/>
  <c r="B1167" i="1"/>
  <c r="G1167" i="1"/>
  <c r="A1168" i="1"/>
  <c r="B1168" i="1"/>
  <c r="G1168" i="1"/>
  <c r="A1169" i="1"/>
  <c r="B1169" i="1"/>
  <c r="G1169" i="1"/>
  <c r="A1170" i="1"/>
  <c r="B1170" i="1"/>
  <c r="G1170" i="1"/>
  <c r="A1171" i="1"/>
  <c r="B1171" i="1"/>
  <c r="G1171" i="1"/>
  <c r="A1172" i="1"/>
  <c r="B1172" i="1"/>
  <c r="G1172" i="1"/>
  <c r="A1173" i="1"/>
  <c r="B1173" i="1"/>
  <c r="G1173" i="1"/>
  <c r="A1174" i="1"/>
  <c r="B1174" i="1"/>
  <c r="G1174" i="1"/>
  <c r="A1175" i="1"/>
  <c r="B1175" i="1"/>
  <c r="G1175" i="1"/>
  <c r="A1176" i="1"/>
  <c r="B1176" i="1"/>
  <c r="G1176" i="1"/>
  <c r="A1177" i="1"/>
  <c r="B1177" i="1"/>
  <c r="G1177" i="1"/>
  <c r="A1178" i="1"/>
  <c r="B1178" i="1"/>
  <c r="G1178" i="1"/>
  <c r="A1179" i="1"/>
  <c r="B1179" i="1"/>
  <c r="G1179" i="1"/>
  <c r="A1180" i="1"/>
  <c r="B1180" i="1"/>
  <c r="G1180" i="1"/>
  <c r="A1181" i="1"/>
  <c r="B1181" i="1"/>
  <c r="G1181" i="1"/>
  <c r="A1182" i="1"/>
  <c r="B1182" i="1"/>
  <c r="G1182" i="1"/>
  <c r="A1183" i="1"/>
  <c r="B1183" i="1"/>
  <c r="G1183" i="1"/>
  <c r="A1184" i="1"/>
  <c r="B1184" i="1"/>
  <c r="G1184" i="1"/>
  <c r="A1185" i="1"/>
  <c r="B1185" i="1"/>
  <c r="G1185" i="1"/>
  <c r="A1186" i="1"/>
  <c r="B1186" i="1"/>
  <c r="G1186" i="1"/>
  <c r="A1187" i="1"/>
  <c r="B1187" i="1"/>
  <c r="G1187" i="1"/>
  <c r="A1188" i="1"/>
  <c r="B1188" i="1"/>
  <c r="G1188" i="1"/>
  <c r="A1189" i="1"/>
  <c r="B1189" i="1"/>
  <c r="G1189" i="1"/>
  <c r="A1190" i="1"/>
  <c r="B1190" i="1"/>
  <c r="G1190" i="1"/>
  <c r="A1191" i="1"/>
  <c r="B1191" i="1"/>
  <c r="G1191" i="1"/>
  <c r="A1192" i="1"/>
  <c r="B1192" i="1"/>
  <c r="G1192" i="1"/>
  <c r="A1193" i="1"/>
  <c r="B1193" i="1"/>
  <c r="G1193" i="1"/>
  <c r="A1194" i="1"/>
  <c r="B1194" i="1"/>
  <c r="G1194" i="1"/>
  <c r="A1195" i="1"/>
  <c r="B1195" i="1"/>
  <c r="G1195" i="1"/>
  <c r="A1196" i="1"/>
  <c r="B1196" i="1"/>
  <c r="G1196" i="1"/>
  <c r="A1197" i="1"/>
  <c r="B1197" i="1"/>
  <c r="G1197" i="1"/>
  <c r="A1198" i="1"/>
  <c r="B1198" i="1"/>
  <c r="G1198" i="1"/>
  <c r="A1199" i="1"/>
  <c r="B1199" i="1"/>
  <c r="G1199" i="1"/>
  <c r="A1200" i="1"/>
  <c r="B1200" i="1"/>
  <c r="G1200" i="1"/>
  <c r="A1201" i="1"/>
  <c r="B1201" i="1"/>
  <c r="G1201" i="1"/>
  <c r="A1202" i="1"/>
  <c r="B1202" i="1"/>
  <c r="G1202" i="1"/>
  <c r="A1203" i="1"/>
  <c r="B1203" i="1"/>
  <c r="G1203" i="1"/>
  <c r="A1204" i="1"/>
  <c r="B1204" i="1"/>
  <c r="G1204" i="1"/>
  <c r="A1205" i="1"/>
  <c r="B1205" i="1"/>
  <c r="G1205" i="1"/>
  <c r="A1206" i="1"/>
  <c r="B1206" i="1"/>
  <c r="G1206" i="1"/>
  <c r="A1207" i="1"/>
  <c r="B1207" i="1"/>
  <c r="G1207" i="1"/>
  <c r="A1208" i="1"/>
  <c r="B1208" i="1"/>
  <c r="G1208" i="1"/>
  <c r="A1209" i="1"/>
  <c r="B1209" i="1"/>
  <c r="G1209" i="1"/>
  <c r="A1210" i="1"/>
  <c r="B1210" i="1"/>
  <c r="G1210" i="1"/>
  <c r="A1211" i="1"/>
  <c r="B1211" i="1"/>
  <c r="G1211" i="1"/>
  <c r="A1212" i="1"/>
  <c r="B1212" i="1"/>
  <c r="G1212" i="1"/>
  <c r="A1213" i="1"/>
  <c r="B1213" i="1"/>
  <c r="G1213" i="1"/>
  <c r="A1214" i="1"/>
  <c r="B1214" i="1"/>
  <c r="G1214" i="1"/>
  <c r="A1215" i="1"/>
  <c r="B1215" i="1"/>
  <c r="G1215" i="1"/>
  <c r="A1216" i="1"/>
  <c r="B1216" i="1"/>
  <c r="G1216" i="1"/>
  <c r="A1217" i="1"/>
  <c r="B1217" i="1"/>
  <c r="G1217" i="1"/>
  <c r="A1218" i="1"/>
  <c r="B1218" i="1"/>
  <c r="G1218" i="1"/>
  <c r="A1219" i="1"/>
  <c r="B1219" i="1"/>
  <c r="G1219" i="1"/>
  <c r="A1220" i="1"/>
  <c r="B1220" i="1"/>
  <c r="G1220" i="1"/>
  <c r="A1221" i="1"/>
  <c r="B1221" i="1"/>
  <c r="G1221" i="1"/>
  <c r="A1222" i="1"/>
  <c r="B1222" i="1"/>
  <c r="G1222" i="1"/>
  <c r="A1223" i="1"/>
  <c r="B1223" i="1"/>
  <c r="G1223" i="1"/>
  <c r="A1224" i="1"/>
  <c r="B1224" i="1"/>
  <c r="G1224" i="1"/>
  <c r="A1225" i="1"/>
  <c r="B1225" i="1"/>
  <c r="G1225" i="1"/>
  <c r="A1226" i="1"/>
  <c r="B1226" i="1"/>
  <c r="G1226" i="1"/>
  <c r="A1227" i="1"/>
  <c r="B1227" i="1"/>
  <c r="G1227" i="1"/>
  <c r="A1228" i="1"/>
  <c r="B1228" i="1"/>
  <c r="G1228" i="1"/>
  <c r="A1229" i="1"/>
  <c r="B1229" i="1"/>
  <c r="G1229" i="1"/>
  <c r="A1230" i="1"/>
  <c r="B1230" i="1"/>
  <c r="G1230" i="1"/>
  <c r="A1231" i="1"/>
  <c r="B1231" i="1"/>
  <c r="G1231" i="1"/>
  <c r="A1232" i="1"/>
  <c r="B1232" i="1"/>
  <c r="G1232" i="1"/>
  <c r="A1233" i="1"/>
  <c r="B1233" i="1"/>
  <c r="G1233" i="1"/>
  <c r="A1234" i="1"/>
  <c r="B1234" i="1"/>
  <c r="G1234" i="1"/>
  <c r="A1235" i="1"/>
  <c r="B1235" i="1"/>
  <c r="G1235" i="1"/>
  <c r="A1236" i="1"/>
  <c r="B1236" i="1"/>
  <c r="G1236" i="1"/>
  <c r="A1237" i="1"/>
  <c r="B1237" i="1"/>
  <c r="G1237" i="1"/>
  <c r="A1238" i="1"/>
  <c r="B1238" i="1"/>
  <c r="G1238" i="1"/>
  <c r="A1239" i="1"/>
  <c r="B1239" i="1"/>
  <c r="G1239" i="1"/>
  <c r="A1240" i="1"/>
  <c r="B1240" i="1"/>
  <c r="G1240" i="1"/>
  <c r="A1241" i="1"/>
  <c r="B1241" i="1"/>
  <c r="G1241" i="1"/>
  <c r="A1242" i="1"/>
  <c r="B1242" i="1"/>
  <c r="G1242" i="1"/>
  <c r="A1243" i="1"/>
  <c r="B1243" i="1"/>
  <c r="G1243" i="1"/>
  <c r="A1244" i="1"/>
  <c r="B1244" i="1"/>
  <c r="G1244" i="1"/>
  <c r="A1245" i="1"/>
  <c r="B1245" i="1"/>
  <c r="G1245" i="1"/>
  <c r="A1246" i="1"/>
  <c r="B1246" i="1"/>
  <c r="G1246" i="1"/>
  <c r="A1247" i="1"/>
  <c r="B1247" i="1"/>
  <c r="G1247" i="1"/>
  <c r="A1248" i="1"/>
  <c r="B1248" i="1"/>
  <c r="G1248" i="1"/>
  <c r="A1249" i="1"/>
  <c r="B1249" i="1"/>
  <c r="G1249" i="1"/>
  <c r="A1250" i="1"/>
  <c r="B1250" i="1"/>
  <c r="G1250" i="1"/>
  <c r="A1251" i="1"/>
  <c r="B1251" i="1"/>
  <c r="G1251" i="1"/>
  <c r="A1252" i="1"/>
  <c r="B1252" i="1"/>
  <c r="G1252" i="1"/>
  <c r="A1253" i="1"/>
  <c r="B1253" i="1"/>
  <c r="G1253" i="1"/>
  <c r="A1254" i="1"/>
  <c r="B1254" i="1"/>
  <c r="G1254" i="1"/>
  <c r="A1255" i="1"/>
  <c r="B1255" i="1"/>
  <c r="G1255" i="1"/>
  <c r="A1256" i="1"/>
  <c r="B1256" i="1"/>
  <c r="G1256" i="1"/>
  <c r="A1257" i="1"/>
  <c r="B1257" i="1"/>
  <c r="G1257" i="1"/>
  <c r="A1258" i="1"/>
  <c r="B1258" i="1"/>
  <c r="G1258" i="1"/>
  <c r="A1259" i="1"/>
  <c r="B1259" i="1"/>
  <c r="G1259" i="1"/>
  <c r="A1260" i="1"/>
  <c r="B1260" i="1"/>
  <c r="G1260" i="1"/>
  <c r="A1261" i="1"/>
  <c r="B1261" i="1"/>
  <c r="G1261" i="1"/>
  <c r="A1262" i="1"/>
  <c r="B1262" i="1"/>
  <c r="G1262" i="1"/>
  <c r="A1263" i="1"/>
  <c r="B1263" i="1"/>
  <c r="G1263" i="1"/>
  <c r="A1264" i="1"/>
  <c r="B1264" i="1"/>
  <c r="G1264" i="1"/>
  <c r="A1265" i="1"/>
  <c r="B1265" i="1"/>
  <c r="G1265" i="1"/>
  <c r="A1266" i="1"/>
  <c r="B1266" i="1"/>
  <c r="G1266" i="1"/>
  <c r="A1267" i="1"/>
  <c r="B1267" i="1"/>
  <c r="G1267" i="1"/>
  <c r="A1268" i="1"/>
  <c r="B1268" i="1"/>
  <c r="G1268" i="1"/>
  <c r="A1269" i="1"/>
  <c r="B1269" i="1"/>
  <c r="G1269" i="1"/>
  <c r="A1270" i="1"/>
  <c r="B1270" i="1"/>
  <c r="G1270" i="1"/>
  <c r="A1271" i="1"/>
  <c r="B1271" i="1"/>
  <c r="G1271" i="1"/>
  <c r="A1272" i="1"/>
  <c r="B1272" i="1"/>
  <c r="G1272" i="1"/>
  <c r="A1273" i="1"/>
  <c r="B1273" i="1"/>
  <c r="G1273" i="1"/>
  <c r="A1274" i="1"/>
  <c r="B1274" i="1"/>
  <c r="G1274" i="1"/>
  <c r="A1275" i="1"/>
  <c r="B1275" i="1"/>
  <c r="G1275" i="1"/>
  <c r="A1276" i="1"/>
  <c r="B1276" i="1"/>
  <c r="G1276" i="1"/>
  <c r="A1277" i="1"/>
  <c r="B1277" i="1"/>
  <c r="G1277" i="1"/>
  <c r="A1278" i="1"/>
  <c r="B1278" i="1"/>
  <c r="G1278" i="1"/>
  <c r="A1279" i="1"/>
  <c r="B1279" i="1"/>
  <c r="G1279" i="1"/>
  <c r="A1280" i="1"/>
  <c r="B1280" i="1"/>
  <c r="G1280" i="1"/>
  <c r="A1281" i="1"/>
  <c r="B1281" i="1"/>
  <c r="G1281" i="1"/>
  <c r="A1282" i="1"/>
  <c r="B1282" i="1"/>
  <c r="G1282" i="1"/>
  <c r="A1283" i="1"/>
  <c r="B1283" i="1"/>
  <c r="G1283" i="1"/>
  <c r="A1284" i="1"/>
  <c r="B1284" i="1"/>
  <c r="G1284" i="1"/>
  <c r="A1285" i="1"/>
  <c r="B1285" i="1"/>
  <c r="G1285" i="1"/>
  <c r="A1286" i="1"/>
  <c r="B1286" i="1"/>
  <c r="G1286" i="1"/>
  <c r="A1287" i="1"/>
  <c r="B1287" i="1"/>
  <c r="G1287" i="1"/>
  <c r="A1288" i="1"/>
  <c r="B1288" i="1"/>
  <c r="G1288" i="1"/>
  <c r="A1289" i="1"/>
  <c r="B1289" i="1"/>
  <c r="G1289" i="1"/>
  <c r="A1290" i="1"/>
  <c r="B1290" i="1"/>
  <c r="G1290" i="1"/>
  <c r="A1291" i="1"/>
  <c r="B1291" i="1"/>
  <c r="G1291" i="1"/>
  <c r="A1292" i="1"/>
  <c r="B1292" i="1"/>
  <c r="G1292" i="1"/>
  <c r="A1293" i="1"/>
  <c r="B1293" i="1"/>
  <c r="G1293" i="1"/>
  <c r="A1294" i="1"/>
  <c r="B1294" i="1"/>
  <c r="G1294" i="1"/>
  <c r="A1295" i="1"/>
  <c r="B1295" i="1"/>
  <c r="G1295" i="1"/>
  <c r="A1296" i="1"/>
  <c r="B1296" i="1"/>
  <c r="G1296" i="1"/>
  <c r="A1297" i="1"/>
  <c r="B1297" i="1"/>
  <c r="G1297" i="1"/>
  <c r="A1298" i="1"/>
  <c r="B1298" i="1"/>
  <c r="G1298" i="1"/>
  <c r="A1299" i="1"/>
  <c r="B1299" i="1"/>
  <c r="G1299" i="1"/>
  <c r="A1300" i="1"/>
  <c r="B1300" i="1"/>
  <c r="G1300" i="1"/>
  <c r="A1301" i="1"/>
  <c r="B1301" i="1"/>
  <c r="G1301" i="1"/>
  <c r="A1302" i="1"/>
  <c r="B1302" i="1"/>
  <c r="G1302" i="1"/>
  <c r="A1303" i="1"/>
  <c r="B1303" i="1"/>
  <c r="G1303" i="1"/>
  <c r="A1304" i="1"/>
  <c r="B1304" i="1"/>
  <c r="G1304" i="1"/>
  <c r="A1305" i="1"/>
  <c r="B1305" i="1"/>
  <c r="G1305" i="1"/>
  <c r="A1306" i="1"/>
  <c r="B1306" i="1"/>
  <c r="G1306" i="1"/>
  <c r="A1307" i="1"/>
  <c r="B1307" i="1"/>
  <c r="G1307" i="1"/>
  <c r="A1308" i="1"/>
  <c r="B1308" i="1"/>
  <c r="G1308" i="1"/>
  <c r="A1309" i="1"/>
  <c r="B1309" i="1"/>
  <c r="G1309" i="1"/>
  <c r="A1310" i="1"/>
  <c r="B1310" i="1"/>
  <c r="G1310" i="1"/>
  <c r="A1311" i="1"/>
  <c r="B1311" i="1"/>
  <c r="G1311" i="1"/>
  <c r="A1312" i="1"/>
  <c r="B1312" i="1"/>
  <c r="G1312" i="1"/>
  <c r="A1313" i="1"/>
  <c r="B1313" i="1"/>
  <c r="G1313" i="1"/>
  <c r="A1314" i="1"/>
  <c r="B1314" i="1"/>
  <c r="G1314" i="1"/>
  <c r="A1315" i="1"/>
  <c r="B1315" i="1"/>
  <c r="G1315" i="1"/>
  <c r="A1316" i="1"/>
  <c r="B1316" i="1"/>
  <c r="G1316" i="1"/>
  <c r="A1317" i="1"/>
  <c r="B1317" i="1"/>
  <c r="G1317" i="1"/>
  <c r="A1318" i="1"/>
  <c r="B1318" i="1"/>
  <c r="G1318" i="1"/>
  <c r="A1319" i="1"/>
  <c r="B1319" i="1"/>
  <c r="G1319" i="1"/>
  <c r="A1320" i="1"/>
  <c r="B1320" i="1"/>
  <c r="G1320" i="1"/>
  <c r="A1321" i="1"/>
  <c r="B1321" i="1"/>
  <c r="G1321" i="1"/>
  <c r="A1322" i="1"/>
  <c r="B1322" i="1"/>
  <c r="G1322" i="1"/>
  <c r="A1323" i="1"/>
  <c r="B1323" i="1"/>
  <c r="G1323" i="1"/>
  <c r="A1324" i="1"/>
  <c r="B1324" i="1"/>
  <c r="G1324" i="1"/>
  <c r="A1325" i="1"/>
  <c r="B1325" i="1"/>
  <c r="G1325" i="1"/>
  <c r="A1326" i="1"/>
  <c r="B1326" i="1"/>
  <c r="G1326" i="1"/>
  <c r="A1327" i="1"/>
  <c r="B1327" i="1"/>
  <c r="G1327" i="1"/>
  <c r="A1328" i="1"/>
  <c r="B1328" i="1"/>
  <c r="G1328" i="1"/>
  <c r="A1329" i="1"/>
  <c r="B1329" i="1"/>
  <c r="G1329" i="1"/>
  <c r="A1330" i="1"/>
  <c r="B1330" i="1"/>
  <c r="G1330" i="1"/>
  <c r="A1331" i="1"/>
  <c r="B1331" i="1"/>
  <c r="G1331" i="1"/>
  <c r="A1332" i="1"/>
  <c r="B1332" i="1"/>
  <c r="G1332" i="1"/>
  <c r="A1333" i="1"/>
  <c r="B1333" i="1"/>
  <c r="G1333" i="1"/>
  <c r="A1334" i="1"/>
  <c r="B1334" i="1"/>
  <c r="G1334" i="1"/>
  <c r="A1335" i="1"/>
  <c r="B1335" i="1"/>
  <c r="G1335" i="1"/>
  <c r="A1336" i="1"/>
  <c r="B1336" i="1"/>
  <c r="G1336" i="1"/>
  <c r="A1337" i="1"/>
  <c r="B1337" i="1"/>
  <c r="G1337" i="1"/>
  <c r="A1338" i="1"/>
  <c r="B1338" i="1"/>
  <c r="G1338" i="1"/>
  <c r="A1339" i="1"/>
  <c r="B1339" i="1"/>
  <c r="G1339" i="1"/>
  <c r="A1340" i="1"/>
  <c r="B1340" i="1"/>
  <c r="G1340" i="1"/>
  <c r="A1341" i="1"/>
  <c r="B1341" i="1"/>
  <c r="G1341" i="1"/>
  <c r="A1342" i="1"/>
  <c r="B1342" i="1"/>
  <c r="G1342" i="1"/>
  <c r="A1343" i="1"/>
  <c r="B1343" i="1"/>
  <c r="G1343" i="1"/>
  <c r="A1344" i="1"/>
  <c r="B1344" i="1"/>
  <c r="G1344" i="1"/>
  <c r="A1345" i="1"/>
  <c r="B1345" i="1"/>
  <c r="G1345" i="1"/>
  <c r="A1346" i="1"/>
  <c r="B1346" i="1"/>
  <c r="G1346" i="1"/>
  <c r="A1347" i="1"/>
  <c r="B1347" i="1"/>
  <c r="G1347" i="1"/>
  <c r="A1348" i="1"/>
  <c r="B1348" i="1"/>
  <c r="G1348" i="1"/>
  <c r="A1349" i="1"/>
  <c r="B1349" i="1"/>
  <c r="G1349" i="1"/>
  <c r="A1350" i="1"/>
  <c r="B1350" i="1"/>
  <c r="G1350" i="1"/>
  <c r="A1351" i="1"/>
  <c r="B1351" i="1"/>
  <c r="G1351" i="1"/>
  <c r="A1352" i="1"/>
  <c r="B1352" i="1"/>
  <c r="G1352" i="1"/>
  <c r="A1353" i="1"/>
  <c r="B1353" i="1"/>
  <c r="G1353" i="1"/>
  <c r="A1354" i="1"/>
  <c r="B1354" i="1"/>
  <c r="G1354" i="1"/>
  <c r="A1355" i="1"/>
  <c r="B1355" i="1"/>
  <c r="G1355" i="1"/>
  <c r="A1356" i="1"/>
  <c r="B1356" i="1"/>
  <c r="G1356" i="1"/>
  <c r="A1357" i="1"/>
  <c r="B1357" i="1"/>
  <c r="G1357" i="1"/>
  <c r="A1358" i="1"/>
  <c r="B1358" i="1"/>
  <c r="G1358" i="1"/>
  <c r="A1359" i="1"/>
  <c r="B1359" i="1"/>
  <c r="G1359" i="1"/>
  <c r="A1360" i="1"/>
  <c r="B1360" i="1"/>
  <c r="G1360" i="1"/>
  <c r="A1361" i="1"/>
  <c r="B1361" i="1"/>
  <c r="G1361" i="1"/>
  <c r="A1362" i="1"/>
  <c r="B1362" i="1"/>
  <c r="G1362" i="1"/>
  <c r="A1363" i="1"/>
  <c r="B1363" i="1"/>
  <c r="G1363" i="1"/>
  <c r="A1364" i="1"/>
  <c r="B1364" i="1"/>
  <c r="G1364" i="1"/>
  <c r="A1365" i="1"/>
  <c r="B1365" i="1"/>
  <c r="G1365" i="1"/>
  <c r="A1366" i="1"/>
  <c r="B1366" i="1"/>
  <c r="G1366" i="1"/>
  <c r="A1367" i="1"/>
  <c r="B1367" i="1"/>
  <c r="G1367" i="1"/>
  <c r="A1368" i="1"/>
  <c r="B1368" i="1"/>
  <c r="G1368" i="1"/>
  <c r="A1369" i="1"/>
  <c r="B1369" i="1"/>
  <c r="G1369" i="1"/>
  <c r="A1370" i="1"/>
  <c r="B1370" i="1"/>
  <c r="G1370" i="1"/>
  <c r="A1371" i="1"/>
  <c r="B1371" i="1"/>
  <c r="G1371" i="1"/>
  <c r="A1372" i="1"/>
  <c r="B1372" i="1"/>
  <c r="G1372" i="1"/>
  <c r="A1373" i="1"/>
  <c r="B1373" i="1"/>
  <c r="G1373" i="1"/>
  <c r="A1374" i="1"/>
  <c r="B1374" i="1"/>
  <c r="G1374" i="1"/>
  <c r="A1375" i="1"/>
  <c r="B1375" i="1"/>
  <c r="G1375" i="1"/>
  <c r="A1376" i="1"/>
  <c r="B1376" i="1"/>
  <c r="G1376" i="1"/>
  <c r="A1377" i="1"/>
  <c r="B1377" i="1"/>
  <c r="G1377" i="1"/>
  <c r="A1378" i="1"/>
  <c r="B1378" i="1"/>
  <c r="G1378" i="1"/>
  <c r="A1379" i="1"/>
  <c r="B1379" i="1"/>
  <c r="G1379" i="1"/>
  <c r="A1380" i="1"/>
  <c r="B1380" i="1"/>
  <c r="G1380" i="1"/>
  <c r="A1381" i="1"/>
  <c r="B1381" i="1"/>
  <c r="G1381" i="1"/>
  <c r="A1382" i="1"/>
  <c r="B1382" i="1"/>
  <c r="G1382" i="1"/>
  <c r="A1383" i="1"/>
  <c r="B1383" i="1"/>
  <c r="G1383" i="1"/>
  <c r="A1384" i="1"/>
  <c r="B1384" i="1"/>
  <c r="G1384" i="1"/>
  <c r="A1385" i="1"/>
  <c r="B1385" i="1"/>
  <c r="G1385" i="1"/>
  <c r="A1386" i="1"/>
  <c r="B1386" i="1"/>
  <c r="G1386" i="1"/>
  <c r="A1387" i="1"/>
  <c r="B1387" i="1"/>
  <c r="G1387" i="1"/>
  <c r="A1388" i="1"/>
  <c r="B1388" i="1"/>
  <c r="G1388" i="1"/>
  <c r="A1389" i="1"/>
  <c r="B1389" i="1"/>
  <c r="G1389" i="1"/>
  <c r="A1390" i="1"/>
  <c r="B1390" i="1"/>
  <c r="G1390" i="1"/>
  <c r="A1391" i="1"/>
  <c r="B1391" i="1"/>
  <c r="G1391" i="1"/>
  <c r="A1392" i="1"/>
  <c r="B1392" i="1"/>
  <c r="G1392" i="1"/>
  <c r="A1393" i="1"/>
  <c r="B1393" i="1"/>
  <c r="G1393" i="1"/>
  <c r="A1394" i="1"/>
  <c r="B1394" i="1"/>
  <c r="G1394" i="1"/>
  <c r="A1395" i="1"/>
  <c r="B1395" i="1"/>
  <c r="G1395" i="1"/>
  <c r="A1396" i="1"/>
  <c r="B1396" i="1"/>
  <c r="G1396" i="1"/>
  <c r="A1397" i="1"/>
  <c r="B1397" i="1"/>
  <c r="G1397" i="1"/>
  <c r="A1398" i="1"/>
  <c r="B1398" i="1"/>
  <c r="G1398" i="1"/>
  <c r="A1399" i="1"/>
  <c r="B1399" i="1"/>
  <c r="G1399" i="1"/>
  <c r="A1400" i="1"/>
  <c r="B1400" i="1"/>
  <c r="G1400" i="1"/>
  <c r="A1401" i="1"/>
  <c r="B1401" i="1"/>
  <c r="G1401" i="1"/>
  <c r="A1402" i="1"/>
  <c r="B1402" i="1"/>
  <c r="G1402" i="1"/>
  <c r="A1403" i="1"/>
  <c r="B1403" i="1"/>
  <c r="G1403" i="1"/>
  <c r="A1404" i="1"/>
  <c r="B1404" i="1"/>
  <c r="G1404" i="1"/>
  <c r="A1405" i="1"/>
  <c r="B1405" i="1"/>
  <c r="G1405" i="1"/>
  <c r="A1406" i="1"/>
  <c r="B1406" i="1"/>
  <c r="G1406" i="1"/>
  <c r="A1407" i="1"/>
  <c r="B1407" i="1"/>
  <c r="G1407" i="1"/>
  <c r="A1408" i="1"/>
  <c r="B1408" i="1"/>
  <c r="G1408" i="1"/>
  <c r="A1409" i="1"/>
  <c r="B1409" i="1"/>
  <c r="G1409" i="1"/>
  <c r="A1410" i="1"/>
  <c r="B1410" i="1"/>
  <c r="G1410" i="1"/>
  <c r="A1411" i="1"/>
  <c r="B1411" i="1"/>
  <c r="G1411" i="1"/>
  <c r="A1412" i="1"/>
  <c r="B1412" i="1"/>
  <c r="G1412" i="1"/>
  <c r="A1413" i="1"/>
  <c r="B1413" i="1"/>
  <c r="G1413" i="1"/>
  <c r="A1414" i="1"/>
  <c r="B1414" i="1"/>
  <c r="G1414" i="1"/>
  <c r="A1415" i="1"/>
  <c r="B1415" i="1"/>
  <c r="G1415" i="1"/>
  <c r="A1416" i="1"/>
  <c r="B1416" i="1"/>
  <c r="G1416" i="1"/>
  <c r="A1417" i="1"/>
  <c r="B1417" i="1"/>
  <c r="G1417" i="1"/>
  <c r="A1418" i="1"/>
  <c r="B1418" i="1"/>
  <c r="G1418" i="1"/>
  <c r="A1419" i="1"/>
  <c r="B1419" i="1"/>
  <c r="G1419" i="1"/>
  <c r="A1420" i="1"/>
  <c r="B1420" i="1"/>
  <c r="G1420" i="1"/>
  <c r="A1421" i="1"/>
  <c r="B1421" i="1"/>
  <c r="G1421" i="1"/>
  <c r="A1422" i="1"/>
  <c r="B1422" i="1"/>
  <c r="G1422" i="1"/>
  <c r="A1423" i="1"/>
  <c r="B1423" i="1"/>
  <c r="G1423" i="1"/>
  <c r="A1424" i="1"/>
  <c r="B1424" i="1"/>
  <c r="G1424" i="1"/>
  <c r="A1425" i="1"/>
  <c r="B1425" i="1"/>
  <c r="G1425" i="1"/>
  <c r="A1426" i="1"/>
  <c r="B1426" i="1"/>
  <c r="G1426" i="1"/>
  <c r="A1427" i="1"/>
  <c r="B1427" i="1"/>
  <c r="G1427" i="1"/>
  <c r="A1428" i="1"/>
  <c r="B1428" i="1"/>
  <c r="G1428" i="1"/>
  <c r="A1429" i="1"/>
  <c r="B1429" i="1"/>
  <c r="G1429" i="1"/>
  <c r="A1430" i="1"/>
  <c r="B1430" i="1"/>
  <c r="G1430" i="1"/>
  <c r="A1431" i="1"/>
  <c r="B1431" i="1"/>
  <c r="G1431" i="1"/>
  <c r="A1432" i="1"/>
  <c r="B1432" i="1"/>
  <c r="G1432" i="1"/>
  <c r="A1433" i="1"/>
  <c r="B1433" i="1"/>
  <c r="G1433" i="1"/>
  <c r="A1434" i="1"/>
  <c r="B1434" i="1"/>
  <c r="G1434" i="1"/>
  <c r="A1435" i="1"/>
  <c r="B1435" i="1"/>
  <c r="G1435" i="1"/>
  <c r="A1436" i="1"/>
  <c r="B1436" i="1"/>
  <c r="G1436" i="1"/>
  <c r="A1437" i="1"/>
  <c r="B1437" i="1"/>
  <c r="G1437" i="1"/>
  <c r="A1438" i="1"/>
  <c r="B1438" i="1"/>
  <c r="G1438" i="1"/>
  <c r="A1439" i="1"/>
  <c r="B1439" i="1"/>
  <c r="G1439" i="1"/>
  <c r="A1440" i="1"/>
  <c r="B1440" i="1"/>
  <c r="G1440" i="1"/>
  <c r="A1441" i="1"/>
  <c r="B1441" i="1"/>
  <c r="G1441" i="1"/>
  <c r="A1442" i="1"/>
  <c r="B1442" i="1"/>
  <c r="G1442" i="1"/>
  <c r="A1443" i="1"/>
  <c r="B1443" i="1"/>
  <c r="G1443" i="1"/>
  <c r="A1444" i="1"/>
  <c r="B1444" i="1"/>
  <c r="G1444" i="1"/>
  <c r="A1445" i="1"/>
  <c r="B1445" i="1"/>
  <c r="G1445" i="1"/>
  <c r="A1446" i="1"/>
  <c r="B1446" i="1"/>
  <c r="G1446" i="1"/>
  <c r="A1447" i="1"/>
  <c r="B1447" i="1"/>
  <c r="G1447" i="1"/>
  <c r="A1448" i="1"/>
  <c r="B1448" i="1"/>
  <c r="G1448" i="1"/>
  <c r="A1449" i="1"/>
  <c r="B1449" i="1"/>
  <c r="G1449" i="1"/>
  <c r="A1450" i="1"/>
  <c r="B1450" i="1"/>
  <c r="G1450" i="1"/>
  <c r="A1451" i="1"/>
  <c r="B1451" i="1"/>
  <c r="G1451" i="1"/>
  <c r="A1452" i="1"/>
  <c r="B1452" i="1"/>
  <c r="G1452" i="1"/>
  <c r="A1453" i="1"/>
  <c r="B1453" i="1"/>
  <c r="G1453" i="1"/>
  <c r="A1454" i="1"/>
  <c r="B1454" i="1"/>
  <c r="G1454" i="1"/>
  <c r="A1455" i="1"/>
  <c r="B1455" i="1"/>
  <c r="G1455" i="1"/>
  <c r="A1456" i="1"/>
  <c r="B1456" i="1"/>
  <c r="G1456" i="1"/>
  <c r="A1457" i="1"/>
  <c r="B1457" i="1"/>
  <c r="G1457" i="1"/>
  <c r="A1458" i="1"/>
  <c r="B1458" i="1"/>
  <c r="G1458" i="1"/>
  <c r="A1459" i="1"/>
  <c r="B1459" i="1"/>
  <c r="G1459" i="1"/>
  <c r="A1460" i="1"/>
  <c r="B1460" i="1"/>
  <c r="G1460" i="1"/>
  <c r="A1461" i="1"/>
  <c r="B1461" i="1"/>
  <c r="G1461" i="1"/>
  <c r="A1462" i="1"/>
  <c r="B1462" i="1"/>
  <c r="G1462" i="1"/>
  <c r="A1463" i="1"/>
  <c r="B1463" i="1"/>
  <c r="G1463" i="1"/>
  <c r="A1464" i="1"/>
  <c r="B1464" i="1"/>
  <c r="G1464" i="1"/>
  <c r="A1465" i="1"/>
  <c r="B1465" i="1"/>
  <c r="G1465" i="1"/>
  <c r="A1466" i="1"/>
  <c r="B1466" i="1"/>
  <c r="G1466" i="1"/>
  <c r="A1467" i="1"/>
  <c r="B1467" i="1"/>
  <c r="G1467" i="1"/>
  <c r="A1468" i="1"/>
  <c r="B1468" i="1"/>
  <c r="G1468" i="1"/>
  <c r="A1469" i="1"/>
  <c r="B1469" i="1"/>
  <c r="G1469" i="1"/>
  <c r="A1470" i="1"/>
  <c r="B1470" i="1"/>
  <c r="G1470" i="1"/>
  <c r="A1471" i="1"/>
  <c r="B1471" i="1"/>
  <c r="G1471" i="1"/>
  <c r="A1472" i="1"/>
  <c r="B1472" i="1"/>
  <c r="G1472" i="1"/>
  <c r="A1473" i="1"/>
  <c r="B1473" i="1"/>
  <c r="G1473" i="1"/>
  <c r="A1474" i="1"/>
  <c r="B1474" i="1"/>
  <c r="G1474" i="1"/>
  <c r="A1475" i="1"/>
  <c r="B1475" i="1"/>
  <c r="G1475" i="1"/>
  <c r="A1476" i="1"/>
  <c r="B1476" i="1"/>
  <c r="G1476" i="1"/>
  <c r="A1477" i="1"/>
  <c r="B1477" i="1"/>
  <c r="G1477" i="1"/>
  <c r="A1478" i="1"/>
  <c r="B1478" i="1"/>
  <c r="G1478" i="1"/>
  <c r="A1479" i="1"/>
  <c r="B1479" i="1"/>
  <c r="G1479" i="1"/>
  <c r="A1480" i="1"/>
  <c r="B1480" i="1"/>
  <c r="G1480" i="1"/>
  <c r="A1481" i="1"/>
  <c r="B1481" i="1"/>
  <c r="G1481" i="1"/>
  <c r="A1482" i="1"/>
  <c r="B1482" i="1"/>
  <c r="G1482" i="1"/>
  <c r="A1483" i="1"/>
  <c r="B1483" i="1"/>
  <c r="G1483" i="1"/>
  <c r="A1484" i="1"/>
  <c r="B1484" i="1"/>
  <c r="G1484" i="1"/>
  <c r="A1485" i="1"/>
  <c r="B1485" i="1"/>
  <c r="G1485" i="1"/>
  <c r="A1486" i="1"/>
  <c r="B1486" i="1"/>
  <c r="G1486" i="1"/>
  <c r="A1487" i="1"/>
  <c r="B1487" i="1"/>
  <c r="G1487" i="1"/>
  <c r="A1488" i="1"/>
  <c r="B1488" i="1"/>
  <c r="G1488" i="1"/>
  <c r="A1489" i="1"/>
  <c r="B1489" i="1"/>
  <c r="G1489" i="1"/>
  <c r="A1490" i="1"/>
  <c r="B1490" i="1"/>
  <c r="G1490" i="1"/>
  <c r="A1491" i="1"/>
  <c r="B1491" i="1"/>
  <c r="G1491" i="1"/>
  <c r="A1492" i="1"/>
  <c r="B1492" i="1"/>
  <c r="G1492" i="1"/>
  <c r="A1493" i="1"/>
  <c r="B1493" i="1"/>
  <c r="G1493" i="1"/>
  <c r="A1494" i="1"/>
  <c r="B1494" i="1"/>
  <c r="G1494" i="1"/>
  <c r="A1495" i="1"/>
  <c r="B1495" i="1"/>
  <c r="G1495" i="1"/>
  <c r="A1496" i="1"/>
  <c r="B1496" i="1"/>
  <c r="G1496" i="1"/>
  <c r="A1497" i="1"/>
  <c r="B1497" i="1"/>
  <c r="G1497" i="1"/>
  <c r="A1498" i="1"/>
  <c r="B1498" i="1"/>
  <c r="G1498" i="1"/>
  <c r="A1499" i="1"/>
  <c r="B1499" i="1"/>
  <c r="G1499" i="1"/>
  <c r="A1500" i="1"/>
  <c r="B1500" i="1"/>
  <c r="G1500" i="1"/>
  <c r="A1501" i="1"/>
  <c r="B1501" i="1"/>
  <c r="G1501" i="1"/>
  <c r="A1502" i="1"/>
  <c r="B1502" i="1"/>
  <c r="G1502" i="1"/>
  <c r="A1503" i="1"/>
  <c r="B1503" i="1"/>
  <c r="G1503" i="1"/>
  <c r="A1504" i="1"/>
  <c r="B1504" i="1"/>
  <c r="G1504" i="1"/>
  <c r="A1505" i="1"/>
  <c r="B1505" i="1"/>
  <c r="G1505" i="1"/>
  <c r="A1506" i="1"/>
  <c r="B1506" i="1"/>
  <c r="G1506" i="1"/>
  <c r="A1507" i="1"/>
  <c r="B1507" i="1"/>
  <c r="G1507" i="1"/>
  <c r="A1508" i="1"/>
  <c r="B1508" i="1"/>
  <c r="G1508" i="1"/>
  <c r="A1509" i="1"/>
  <c r="B1509" i="1"/>
  <c r="G1509" i="1"/>
  <c r="A1510" i="1"/>
  <c r="B1510" i="1"/>
  <c r="G1510" i="1"/>
  <c r="A1511" i="1"/>
  <c r="B1511" i="1"/>
  <c r="G1511" i="1"/>
  <c r="A1512" i="1"/>
  <c r="B1512" i="1"/>
  <c r="G1512" i="1"/>
  <c r="A1513" i="1"/>
  <c r="B1513" i="1"/>
  <c r="G1513" i="1"/>
  <c r="A1514" i="1"/>
  <c r="B1514" i="1"/>
  <c r="G1514" i="1"/>
  <c r="A1515" i="1"/>
  <c r="B1515" i="1"/>
  <c r="G1515" i="1"/>
  <c r="A1516" i="1"/>
  <c r="B1516" i="1"/>
  <c r="G1516" i="1"/>
  <c r="A1517" i="1"/>
  <c r="B1517" i="1"/>
  <c r="G1517" i="1"/>
  <c r="A1518" i="1"/>
  <c r="B1518" i="1"/>
  <c r="G1518" i="1"/>
  <c r="A1519" i="1"/>
  <c r="B1519" i="1"/>
  <c r="G1519" i="1"/>
  <c r="A1520" i="1"/>
  <c r="B1520" i="1"/>
  <c r="G1520" i="1"/>
  <c r="A1521" i="1"/>
  <c r="B1521" i="1"/>
  <c r="G1521" i="1"/>
  <c r="A1522" i="1"/>
  <c r="B1522" i="1"/>
  <c r="G1522" i="1"/>
  <c r="A1523" i="1"/>
  <c r="B1523" i="1"/>
  <c r="G1523" i="1"/>
  <c r="A1524" i="1"/>
  <c r="B1524" i="1"/>
  <c r="G1524" i="1"/>
  <c r="A1525" i="1"/>
  <c r="B1525" i="1"/>
  <c r="G1525" i="1"/>
  <c r="A1526" i="1"/>
  <c r="B1526" i="1"/>
  <c r="G1526" i="1"/>
  <c r="A1527" i="1"/>
  <c r="B1527" i="1"/>
  <c r="G1527" i="1"/>
  <c r="A1528" i="1"/>
  <c r="B1528" i="1"/>
  <c r="G1528" i="1"/>
  <c r="A1529" i="1"/>
  <c r="B1529" i="1"/>
  <c r="G1529" i="1"/>
  <c r="A1530" i="1"/>
  <c r="B1530" i="1"/>
  <c r="G1530" i="1"/>
  <c r="A1531" i="1"/>
  <c r="B1531" i="1"/>
  <c r="G1531" i="1"/>
  <c r="A1532" i="1"/>
  <c r="B1532" i="1"/>
  <c r="G1532" i="1"/>
  <c r="A1533" i="1"/>
  <c r="B1533" i="1"/>
  <c r="G1533" i="1"/>
  <c r="A1534" i="1"/>
  <c r="B1534" i="1"/>
  <c r="G1534" i="1"/>
  <c r="A1535" i="1"/>
  <c r="B1535" i="1"/>
  <c r="G1535" i="1"/>
  <c r="A1536" i="1"/>
  <c r="B1536" i="1"/>
  <c r="G1536" i="1"/>
  <c r="A1537" i="1"/>
  <c r="B1537" i="1"/>
  <c r="G1537" i="1"/>
  <c r="A1538" i="1"/>
  <c r="B1538" i="1"/>
  <c r="G1538" i="1"/>
  <c r="A1539" i="1"/>
  <c r="B1539" i="1"/>
  <c r="G1539" i="1"/>
  <c r="A1540" i="1"/>
  <c r="B1540" i="1"/>
  <c r="G1540" i="1"/>
  <c r="A1541" i="1"/>
  <c r="B1541" i="1"/>
  <c r="G1541" i="1"/>
  <c r="A1542" i="1"/>
  <c r="B1542" i="1"/>
  <c r="G1542" i="1"/>
  <c r="A1543" i="1"/>
  <c r="B1543" i="1"/>
  <c r="G1543" i="1"/>
  <c r="A1544" i="1"/>
  <c r="B1544" i="1"/>
  <c r="G1544" i="1"/>
  <c r="A1545" i="1"/>
  <c r="B1545" i="1"/>
  <c r="G1545" i="1"/>
  <c r="A1546" i="1"/>
  <c r="B1546" i="1"/>
  <c r="G1546" i="1"/>
  <c r="A1547" i="1"/>
  <c r="B1547" i="1"/>
  <c r="G1547" i="1"/>
  <c r="A1548" i="1"/>
  <c r="B1548" i="1"/>
  <c r="G1548" i="1"/>
  <c r="A1549" i="1"/>
  <c r="B1549" i="1"/>
  <c r="G1549" i="1"/>
  <c r="A1550" i="1"/>
  <c r="B1550" i="1"/>
  <c r="G1550" i="1"/>
  <c r="A1551" i="1"/>
  <c r="B1551" i="1"/>
  <c r="G1551" i="1"/>
  <c r="A1552" i="1"/>
  <c r="B1552" i="1"/>
  <c r="G1552" i="1"/>
  <c r="A1553" i="1"/>
  <c r="B1553" i="1"/>
  <c r="G1553" i="1"/>
  <c r="A1554" i="1"/>
  <c r="B1554" i="1"/>
  <c r="G1554" i="1"/>
  <c r="A1555" i="1"/>
  <c r="B1555" i="1"/>
  <c r="G1555" i="1"/>
  <c r="A1556" i="1"/>
  <c r="B1556" i="1"/>
  <c r="G1556" i="1"/>
  <c r="A1557" i="1"/>
  <c r="B1557" i="1"/>
  <c r="G1557" i="1"/>
  <c r="A1558" i="1"/>
  <c r="B1558" i="1"/>
  <c r="G1558" i="1"/>
  <c r="A1559" i="1"/>
  <c r="B1559" i="1"/>
  <c r="G1559" i="1"/>
  <c r="A1560" i="1"/>
  <c r="B1560" i="1"/>
  <c r="G1560" i="1"/>
  <c r="A1561" i="1"/>
  <c r="B1561" i="1"/>
  <c r="G1561" i="1"/>
  <c r="A1562" i="1"/>
  <c r="B1562" i="1"/>
  <c r="G1562" i="1"/>
  <c r="A1563" i="1"/>
  <c r="B1563" i="1"/>
  <c r="G1563" i="1"/>
  <c r="A1564" i="1"/>
  <c r="B1564" i="1"/>
  <c r="G1564" i="1"/>
  <c r="A1565" i="1"/>
  <c r="B1565" i="1"/>
  <c r="G1565" i="1"/>
  <c r="A1566" i="1"/>
  <c r="B1566" i="1"/>
  <c r="G1566" i="1"/>
  <c r="A1567" i="1"/>
  <c r="B1567" i="1"/>
  <c r="G1567" i="1"/>
  <c r="A1568" i="1"/>
  <c r="B1568" i="1"/>
  <c r="G1568" i="1"/>
  <c r="A1569" i="1"/>
  <c r="B1569" i="1"/>
  <c r="G1569" i="1"/>
  <c r="A1570" i="1"/>
  <c r="B1570" i="1"/>
  <c r="G1570" i="1"/>
  <c r="A1571" i="1"/>
  <c r="B1571" i="1"/>
  <c r="G1571" i="1"/>
  <c r="A1572" i="1"/>
  <c r="B1572" i="1"/>
  <c r="G1572" i="1"/>
  <c r="A1573" i="1"/>
  <c r="B1573" i="1"/>
  <c r="G1573" i="1"/>
  <c r="A1574" i="1"/>
  <c r="B1574" i="1"/>
  <c r="G1574" i="1"/>
  <c r="A1575" i="1"/>
  <c r="B1575" i="1"/>
  <c r="G1575" i="1"/>
  <c r="A1576" i="1"/>
  <c r="B1576" i="1"/>
  <c r="G1576" i="1"/>
  <c r="A1577" i="1"/>
  <c r="B1577" i="1"/>
  <c r="G1577" i="1"/>
  <c r="A1578" i="1"/>
  <c r="B1578" i="1"/>
  <c r="G1578" i="1"/>
  <c r="A1579" i="1"/>
  <c r="B1579" i="1"/>
  <c r="G1579" i="1"/>
  <c r="A1580" i="1"/>
  <c r="B1580" i="1"/>
  <c r="G1580" i="1"/>
  <c r="A1581" i="1"/>
  <c r="B1581" i="1"/>
  <c r="G1581" i="1"/>
  <c r="A1582" i="1"/>
  <c r="B1582" i="1"/>
  <c r="G1582" i="1"/>
  <c r="A1583" i="1"/>
  <c r="B1583" i="1"/>
  <c r="G1583" i="1"/>
  <c r="A1584" i="1"/>
  <c r="B1584" i="1"/>
  <c r="G1584" i="1"/>
  <c r="A1585" i="1"/>
  <c r="B1585" i="1"/>
  <c r="G1585" i="1"/>
  <c r="A1586" i="1"/>
  <c r="B1586" i="1"/>
  <c r="G1586" i="1"/>
  <c r="A1587" i="1"/>
  <c r="B1587" i="1"/>
  <c r="G1587" i="1"/>
  <c r="A1588" i="1"/>
  <c r="B1588" i="1"/>
  <c r="G1588" i="1"/>
  <c r="A1589" i="1"/>
  <c r="B1589" i="1"/>
  <c r="G1589" i="1"/>
  <c r="A1590" i="1"/>
  <c r="B1590" i="1"/>
  <c r="G1590" i="1"/>
  <c r="A1591" i="1"/>
  <c r="B1591" i="1"/>
  <c r="G1591" i="1"/>
  <c r="A1592" i="1"/>
  <c r="B1592" i="1"/>
  <c r="G1592" i="1"/>
  <c r="A1593" i="1"/>
  <c r="B1593" i="1"/>
  <c r="G1593" i="1"/>
  <c r="A1594" i="1"/>
  <c r="B1594" i="1"/>
  <c r="G1594" i="1"/>
  <c r="A1595" i="1"/>
  <c r="B1595" i="1"/>
  <c r="G1595" i="1"/>
  <c r="A1596" i="1"/>
  <c r="B1596" i="1"/>
  <c r="G1596" i="1"/>
  <c r="A1597" i="1"/>
  <c r="B1597" i="1"/>
  <c r="G1597" i="1"/>
  <c r="A1598" i="1"/>
  <c r="B1598" i="1"/>
  <c r="G1598" i="1"/>
  <c r="A1599" i="1"/>
  <c r="B1599" i="1"/>
  <c r="G1599" i="1"/>
  <c r="A1600" i="1"/>
  <c r="B1600" i="1"/>
  <c r="G1600" i="1"/>
  <c r="A1601" i="1"/>
  <c r="B1601" i="1"/>
  <c r="G1601" i="1"/>
  <c r="A1602" i="1"/>
  <c r="B1602" i="1"/>
  <c r="G1602" i="1"/>
  <c r="A1603" i="1"/>
  <c r="B1603" i="1"/>
  <c r="G1603" i="1"/>
  <c r="A1604" i="1"/>
  <c r="B1604" i="1"/>
  <c r="G1604" i="1"/>
  <c r="A1605" i="1"/>
  <c r="B1605" i="1"/>
  <c r="G1605" i="1"/>
  <c r="A1606" i="1"/>
  <c r="B1606" i="1"/>
  <c r="G1606" i="1"/>
  <c r="A1607" i="1"/>
  <c r="B1607" i="1"/>
  <c r="G1607" i="1"/>
  <c r="A1608" i="1"/>
  <c r="B1608" i="1"/>
  <c r="G1608" i="1"/>
  <c r="A1609" i="1"/>
  <c r="B1609" i="1"/>
  <c r="G1609" i="1"/>
  <c r="A1610" i="1"/>
  <c r="B1610" i="1"/>
  <c r="G1610" i="1"/>
  <c r="A1611" i="1"/>
  <c r="B1611" i="1"/>
  <c r="G1611" i="1"/>
  <c r="A1612" i="1"/>
  <c r="B1612" i="1"/>
  <c r="G1612" i="1"/>
  <c r="A1613" i="1"/>
  <c r="B1613" i="1"/>
  <c r="G1613" i="1"/>
  <c r="A1614" i="1"/>
  <c r="B1614" i="1"/>
  <c r="G1614" i="1"/>
  <c r="A1615" i="1"/>
  <c r="B1615" i="1"/>
  <c r="G1615" i="1"/>
  <c r="A1616" i="1"/>
  <c r="B1616" i="1"/>
  <c r="G1616" i="1"/>
  <c r="A1617" i="1"/>
  <c r="B1617" i="1"/>
  <c r="G1617" i="1"/>
  <c r="A1618" i="1"/>
  <c r="B1618" i="1"/>
  <c r="G1618" i="1"/>
  <c r="A1619" i="1"/>
  <c r="B1619" i="1"/>
  <c r="G1619" i="1"/>
  <c r="A1620" i="1"/>
  <c r="B1620" i="1"/>
  <c r="G1620" i="1"/>
  <c r="A1621" i="1"/>
  <c r="B1621" i="1"/>
  <c r="G1621" i="1"/>
  <c r="A1622" i="1"/>
  <c r="B1622" i="1"/>
  <c r="G1622" i="1"/>
  <c r="A1623" i="1"/>
  <c r="B1623" i="1"/>
  <c r="G1623" i="1"/>
  <c r="A1624" i="1"/>
  <c r="B1624" i="1"/>
  <c r="G1624" i="1"/>
  <c r="A1625" i="1"/>
  <c r="B1625" i="1"/>
  <c r="G1625" i="1"/>
  <c r="A1626" i="1"/>
  <c r="B1626" i="1"/>
  <c r="G1626" i="1"/>
  <c r="A1627" i="1"/>
  <c r="B1627" i="1"/>
  <c r="G1627" i="1"/>
  <c r="A1628" i="1"/>
  <c r="B1628" i="1"/>
  <c r="G1628" i="1"/>
  <c r="A1629" i="1"/>
  <c r="B1629" i="1"/>
  <c r="G1629" i="1"/>
  <c r="A1630" i="1"/>
  <c r="B1630" i="1"/>
  <c r="G1630" i="1"/>
  <c r="A1631" i="1"/>
  <c r="B1631" i="1"/>
  <c r="G1631" i="1"/>
  <c r="A1632" i="1"/>
  <c r="B1632" i="1"/>
  <c r="G1632" i="1"/>
  <c r="A1633" i="1"/>
  <c r="B1633" i="1"/>
  <c r="G1633" i="1"/>
  <c r="A1634" i="1"/>
  <c r="B1634" i="1"/>
  <c r="G1634" i="1"/>
  <c r="A1635" i="1"/>
  <c r="B1635" i="1"/>
  <c r="G1635" i="1"/>
  <c r="A1636" i="1"/>
  <c r="B1636" i="1"/>
  <c r="G1636" i="1"/>
  <c r="A1637" i="1"/>
  <c r="B1637" i="1"/>
  <c r="G1637" i="1"/>
  <c r="A1638" i="1"/>
  <c r="B1638" i="1"/>
  <c r="G1638" i="1"/>
  <c r="A1639" i="1"/>
  <c r="B1639" i="1"/>
  <c r="G1639" i="1"/>
  <c r="A1640" i="1"/>
  <c r="B1640" i="1"/>
  <c r="G1640" i="1"/>
  <c r="A1641" i="1"/>
  <c r="B1641" i="1"/>
  <c r="G1641" i="1"/>
  <c r="A1642" i="1"/>
  <c r="B1642" i="1"/>
  <c r="G1642" i="1"/>
  <c r="A1643" i="1"/>
  <c r="B1643" i="1"/>
  <c r="G1643" i="1"/>
  <c r="A1644" i="1"/>
  <c r="B1644" i="1"/>
  <c r="G1644" i="1"/>
  <c r="A1645" i="1"/>
  <c r="B1645" i="1"/>
  <c r="G1645" i="1"/>
  <c r="A1646" i="1"/>
  <c r="B1646" i="1"/>
  <c r="G1646" i="1"/>
  <c r="A1647" i="1"/>
  <c r="B1647" i="1"/>
  <c r="G1647" i="1"/>
  <c r="A1648" i="1"/>
  <c r="B1648" i="1"/>
  <c r="G1648" i="1"/>
  <c r="A1649" i="1"/>
  <c r="B1649" i="1"/>
  <c r="G1649" i="1"/>
  <c r="A1650" i="1"/>
  <c r="B1650" i="1"/>
  <c r="G1650" i="1"/>
  <c r="A1651" i="1"/>
  <c r="B1651" i="1"/>
  <c r="G1651" i="1"/>
  <c r="A1652" i="1"/>
  <c r="B1652" i="1"/>
  <c r="G1652" i="1"/>
  <c r="A1653" i="1"/>
  <c r="B1653" i="1"/>
  <c r="G1653" i="1"/>
  <c r="A1654" i="1"/>
  <c r="B1654" i="1"/>
  <c r="G1654" i="1"/>
  <c r="A1655" i="1"/>
  <c r="B1655" i="1"/>
  <c r="G1655" i="1"/>
  <c r="A1656" i="1"/>
  <c r="B1656" i="1"/>
  <c r="G1656" i="1"/>
  <c r="A1657" i="1"/>
  <c r="B1657" i="1"/>
  <c r="G1657" i="1"/>
  <c r="A1658" i="1"/>
  <c r="B1658" i="1"/>
  <c r="G1658" i="1"/>
  <c r="A1659" i="1"/>
  <c r="B1659" i="1"/>
  <c r="G1659" i="1"/>
  <c r="A1660" i="1"/>
  <c r="B1660" i="1"/>
  <c r="G1660" i="1"/>
  <c r="A1661" i="1"/>
  <c r="B1661" i="1"/>
  <c r="G1661" i="1"/>
  <c r="A1662" i="1"/>
  <c r="B1662" i="1"/>
  <c r="G1662" i="1"/>
  <c r="A1663" i="1"/>
  <c r="B1663" i="1"/>
  <c r="G1663" i="1"/>
  <c r="A1664" i="1"/>
  <c r="B1664" i="1"/>
  <c r="G1664" i="1"/>
  <c r="A1665" i="1"/>
  <c r="B1665" i="1"/>
  <c r="G1665" i="1"/>
  <c r="A1666" i="1"/>
  <c r="B1666" i="1"/>
  <c r="G1666" i="1"/>
  <c r="A1667" i="1"/>
  <c r="B1667" i="1"/>
  <c r="G1667" i="1"/>
  <c r="A1668" i="1"/>
  <c r="B1668" i="1"/>
  <c r="G1668" i="1"/>
  <c r="A1669" i="1"/>
  <c r="B1669" i="1"/>
  <c r="G1669" i="1"/>
  <c r="A1670" i="1"/>
  <c r="B1670" i="1"/>
  <c r="G1670" i="1"/>
  <c r="A1671" i="1"/>
  <c r="B1671" i="1"/>
  <c r="G1671" i="1"/>
  <c r="A1672" i="1"/>
  <c r="B1672" i="1"/>
  <c r="G1672" i="1"/>
  <c r="A1673" i="1"/>
  <c r="B1673" i="1"/>
  <c r="G1673" i="1"/>
  <c r="A1674" i="1"/>
  <c r="B1674" i="1"/>
  <c r="G1674" i="1"/>
  <c r="A1675" i="1"/>
  <c r="B1675" i="1"/>
  <c r="G1675" i="1"/>
  <c r="A1676" i="1"/>
  <c r="B1676" i="1"/>
  <c r="G1676" i="1"/>
  <c r="A1677" i="1"/>
  <c r="B1677" i="1"/>
  <c r="G1677" i="1"/>
  <c r="A1678" i="1"/>
  <c r="B1678" i="1"/>
  <c r="G1678" i="1"/>
  <c r="A1679" i="1"/>
  <c r="B1679" i="1"/>
  <c r="G1679" i="1"/>
  <c r="A1680" i="1"/>
  <c r="B1680" i="1"/>
  <c r="G1680" i="1"/>
  <c r="A1681" i="1"/>
  <c r="B1681" i="1"/>
  <c r="G1681" i="1"/>
  <c r="A1682" i="1"/>
  <c r="B1682" i="1"/>
  <c r="G1682" i="1"/>
  <c r="A1683" i="1"/>
  <c r="B1683" i="1"/>
  <c r="G1683" i="1"/>
  <c r="A1684" i="1"/>
  <c r="B1684" i="1"/>
  <c r="G1684" i="1"/>
  <c r="A1685" i="1"/>
  <c r="B1685" i="1"/>
  <c r="G1685" i="1"/>
  <c r="A1686" i="1"/>
  <c r="B1686" i="1"/>
  <c r="G1686" i="1"/>
  <c r="A1687" i="1"/>
  <c r="B1687" i="1"/>
  <c r="G1687" i="1"/>
  <c r="A1688" i="1"/>
  <c r="B1688" i="1"/>
  <c r="G1688" i="1"/>
  <c r="A1689" i="1"/>
  <c r="B1689" i="1"/>
  <c r="G1689" i="1"/>
  <c r="A1690" i="1"/>
  <c r="B1690" i="1"/>
  <c r="G1690" i="1"/>
  <c r="A1691" i="1"/>
  <c r="B1691" i="1"/>
  <c r="G1691" i="1"/>
  <c r="A1692" i="1"/>
  <c r="B1692" i="1"/>
  <c r="G1692" i="1"/>
  <c r="A1693" i="1"/>
  <c r="B1693" i="1"/>
  <c r="G1693" i="1"/>
  <c r="A1694" i="1"/>
  <c r="B1694" i="1"/>
  <c r="G1694" i="1"/>
  <c r="A1695" i="1"/>
  <c r="B1695" i="1"/>
  <c r="G1695" i="1"/>
  <c r="A1696" i="1"/>
  <c r="B1696" i="1"/>
  <c r="G1696" i="1"/>
  <c r="A1697" i="1"/>
  <c r="B1697" i="1"/>
  <c r="G1697" i="1"/>
  <c r="A1698" i="1"/>
  <c r="B1698" i="1"/>
  <c r="G1698" i="1"/>
  <c r="A1699" i="1"/>
  <c r="B1699" i="1"/>
  <c r="G1699" i="1"/>
  <c r="A1700" i="1"/>
  <c r="B1700" i="1"/>
  <c r="G1700" i="1"/>
  <c r="A1701" i="1"/>
  <c r="B1701" i="1"/>
  <c r="G1701" i="1"/>
  <c r="A1702" i="1"/>
  <c r="B1702" i="1"/>
  <c r="G1702" i="1"/>
  <c r="A1703" i="1"/>
  <c r="B1703" i="1"/>
  <c r="G1703" i="1"/>
  <c r="A1704" i="1"/>
  <c r="B1704" i="1"/>
  <c r="G1704" i="1"/>
  <c r="A1705" i="1"/>
  <c r="B1705" i="1"/>
  <c r="G1705" i="1"/>
  <c r="A1706" i="1"/>
  <c r="B1706" i="1"/>
  <c r="G1706" i="1"/>
  <c r="A1707" i="1"/>
  <c r="B1707" i="1"/>
  <c r="G1707" i="1"/>
  <c r="A1708" i="1"/>
  <c r="B1708" i="1"/>
  <c r="G1708" i="1"/>
  <c r="A1709" i="1"/>
  <c r="B1709" i="1"/>
  <c r="G1709" i="1"/>
  <c r="A1710" i="1"/>
  <c r="B1710" i="1"/>
  <c r="G1710" i="1"/>
  <c r="A1711" i="1"/>
  <c r="B1711" i="1"/>
  <c r="G1711" i="1"/>
  <c r="A1712" i="1"/>
  <c r="B1712" i="1"/>
  <c r="G1712" i="1"/>
  <c r="A1713" i="1"/>
  <c r="B1713" i="1"/>
  <c r="G1713" i="1"/>
  <c r="A1714" i="1"/>
  <c r="B1714" i="1"/>
  <c r="G1714" i="1"/>
  <c r="A1715" i="1"/>
  <c r="B1715" i="1"/>
  <c r="G1715" i="1"/>
  <c r="A1716" i="1"/>
  <c r="B1716" i="1"/>
  <c r="G1716" i="1"/>
  <c r="A1717" i="1"/>
  <c r="B1717" i="1"/>
  <c r="G1717" i="1"/>
  <c r="A1718" i="1"/>
  <c r="B1718" i="1"/>
  <c r="G1718" i="1"/>
  <c r="A1719" i="1"/>
  <c r="B1719" i="1"/>
  <c r="G1719" i="1"/>
  <c r="A1720" i="1"/>
  <c r="B1720" i="1"/>
  <c r="G1720" i="1"/>
  <c r="A1721" i="1"/>
  <c r="B1721" i="1"/>
  <c r="G1721" i="1"/>
  <c r="A1722" i="1"/>
  <c r="B1722" i="1"/>
  <c r="G1722" i="1"/>
  <c r="A1723" i="1"/>
  <c r="B1723" i="1"/>
  <c r="G1723" i="1"/>
  <c r="A1724" i="1"/>
  <c r="B1724" i="1"/>
  <c r="G1724" i="1"/>
  <c r="A1725" i="1"/>
  <c r="B1725" i="1"/>
  <c r="G1725" i="1"/>
  <c r="A1726" i="1"/>
  <c r="B1726" i="1"/>
  <c r="G1726" i="1"/>
  <c r="A1727" i="1"/>
  <c r="B1727" i="1"/>
  <c r="G1727" i="1"/>
  <c r="A1728" i="1"/>
  <c r="B1728" i="1"/>
  <c r="G1728" i="1"/>
  <c r="A1729" i="1"/>
  <c r="B1729" i="1"/>
  <c r="G1729" i="1"/>
  <c r="A1730" i="1"/>
  <c r="B1730" i="1"/>
  <c r="G1730" i="1"/>
  <c r="A1731" i="1"/>
  <c r="B1731" i="1"/>
  <c r="G1731" i="1"/>
  <c r="A1732" i="1"/>
  <c r="B1732" i="1"/>
  <c r="G1732" i="1"/>
  <c r="A1733" i="1"/>
  <c r="B1733" i="1"/>
  <c r="G1733" i="1"/>
  <c r="A1734" i="1"/>
  <c r="B1734" i="1"/>
  <c r="G1734" i="1"/>
  <c r="A1735" i="1"/>
  <c r="B1735" i="1"/>
  <c r="G1735" i="1"/>
  <c r="A1736" i="1"/>
  <c r="B1736" i="1"/>
  <c r="G1736" i="1"/>
  <c r="A1737" i="1"/>
  <c r="B1737" i="1"/>
  <c r="G1737" i="1"/>
  <c r="A1738" i="1"/>
  <c r="B1738" i="1"/>
  <c r="G1738" i="1"/>
  <c r="A1739" i="1"/>
  <c r="B1739" i="1"/>
  <c r="G1739" i="1"/>
  <c r="A1740" i="1"/>
  <c r="B1740" i="1"/>
  <c r="G1740" i="1"/>
  <c r="A1741" i="1"/>
  <c r="B1741" i="1"/>
  <c r="G1741" i="1"/>
  <c r="A1742" i="1"/>
  <c r="B1742" i="1"/>
  <c r="G1742" i="1"/>
  <c r="A1743" i="1"/>
  <c r="B1743" i="1"/>
  <c r="G1743" i="1"/>
  <c r="A1744" i="1"/>
  <c r="B1744" i="1"/>
  <c r="G1744" i="1"/>
  <c r="A1745" i="1"/>
  <c r="B1745" i="1"/>
  <c r="G1745" i="1"/>
  <c r="A1746" i="1"/>
  <c r="B1746" i="1"/>
  <c r="G1746" i="1"/>
  <c r="A1747" i="1"/>
  <c r="B1747" i="1"/>
  <c r="G1747" i="1"/>
  <c r="A1748" i="1"/>
  <c r="B1748" i="1"/>
  <c r="G1748" i="1"/>
  <c r="A1749" i="1"/>
  <c r="B1749" i="1"/>
  <c r="G1749" i="1"/>
  <c r="A1750" i="1"/>
  <c r="B1750" i="1"/>
  <c r="G1750" i="1"/>
  <c r="A1751" i="1"/>
  <c r="B1751" i="1"/>
  <c r="G1751" i="1"/>
  <c r="A1752" i="1"/>
  <c r="B1752" i="1"/>
  <c r="G1752" i="1"/>
  <c r="A1753" i="1"/>
  <c r="B1753" i="1"/>
  <c r="G1753" i="1"/>
  <c r="A1754" i="1"/>
  <c r="B1754" i="1"/>
  <c r="G1754" i="1"/>
  <c r="A1755" i="1"/>
  <c r="B1755" i="1"/>
  <c r="G1755" i="1"/>
  <c r="A1756" i="1"/>
  <c r="B1756" i="1"/>
  <c r="G1756" i="1"/>
  <c r="A1757" i="1"/>
  <c r="B1757" i="1"/>
  <c r="G1757" i="1"/>
  <c r="A1758" i="1"/>
  <c r="B1758" i="1"/>
  <c r="G1758" i="1"/>
  <c r="A1759" i="1"/>
  <c r="B1759" i="1"/>
  <c r="G1759" i="1"/>
  <c r="A1760" i="1"/>
  <c r="B1760" i="1"/>
  <c r="G1760" i="1"/>
  <c r="A1761" i="1"/>
  <c r="B1761" i="1"/>
  <c r="G1761" i="1"/>
  <c r="A1762" i="1"/>
  <c r="B1762" i="1"/>
  <c r="G1762" i="1"/>
  <c r="A1763" i="1"/>
  <c r="B1763" i="1"/>
  <c r="G1763" i="1"/>
  <c r="A1764" i="1"/>
  <c r="B1764" i="1"/>
  <c r="G1764" i="1"/>
  <c r="A1765" i="1"/>
  <c r="B1765" i="1"/>
  <c r="G1765" i="1"/>
  <c r="A1766" i="1"/>
  <c r="B1766" i="1"/>
  <c r="G1766" i="1"/>
  <c r="A1767" i="1"/>
  <c r="B1767" i="1"/>
  <c r="G1767" i="1"/>
  <c r="A1768" i="1"/>
  <c r="B1768" i="1"/>
  <c r="G1768" i="1"/>
  <c r="A1769" i="1"/>
  <c r="B1769" i="1"/>
  <c r="G1769" i="1"/>
  <c r="A1770" i="1"/>
  <c r="B1770" i="1"/>
  <c r="G1770" i="1"/>
  <c r="A1771" i="1"/>
  <c r="B1771" i="1"/>
  <c r="G1771" i="1"/>
  <c r="A1772" i="1"/>
  <c r="B1772" i="1"/>
  <c r="G1772" i="1"/>
  <c r="A1773" i="1"/>
  <c r="B1773" i="1"/>
  <c r="G1773" i="1"/>
  <c r="A1774" i="1"/>
  <c r="B1774" i="1"/>
  <c r="G1774" i="1"/>
  <c r="A1775" i="1"/>
  <c r="B1775" i="1"/>
  <c r="G1775" i="1"/>
  <c r="A1776" i="1"/>
  <c r="B1776" i="1"/>
  <c r="G1776" i="1"/>
  <c r="A1777" i="1"/>
  <c r="B1777" i="1"/>
  <c r="G1777" i="1"/>
  <c r="A1778" i="1"/>
  <c r="B1778" i="1"/>
  <c r="G1778" i="1"/>
  <c r="A1779" i="1"/>
  <c r="B1779" i="1"/>
  <c r="G1779" i="1"/>
  <c r="A1780" i="1"/>
  <c r="B1780" i="1"/>
  <c r="G1780" i="1"/>
  <c r="A1781" i="1"/>
  <c r="B1781" i="1"/>
  <c r="G1781" i="1"/>
  <c r="A1782" i="1"/>
  <c r="B1782" i="1"/>
  <c r="G1782" i="1"/>
  <c r="A1783" i="1"/>
  <c r="B1783" i="1"/>
  <c r="G1783" i="1"/>
  <c r="A1784" i="1"/>
  <c r="B1784" i="1"/>
  <c r="G1784" i="1"/>
  <c r="A1785" i="1"/>
  <c r="B1785" i="1"/>
  <c r="G1785" i="1"/>
  <c r="A1786" i="1"/>
  <c r="B1786" i="1"/>
  <c r="G1786" i="1"/>
  <c r="A1787" i="1"/>
  <c r="B1787" i="1"/>
  <c r="G1787" i="1"/>
  <c r="A1788" i="1"/>
  <c r="B1788" i="1"/>
  <c r="G1788" i="1"/>
  <c r="A1789" i="1"/>
  <c r="B1789" i="1"/>
  <c r="G1789" i="1"/>
  <c r="A1790" i="1"/>
  <c r="B1790" i="1"/>
  <c r="G1790" i="1"/>
  <c r="A1791" i="1"/>
  <c r="B1791" i="1"/>
  <c r="G1791" i="1"/>
  <c r="A1792" i="1"/>
  <c r="B1792" i="1"/>
  <c r="G1792" i="1"/>
  <c r="A1793" i="1"/>
  <c r="B1793" i="1"/>
  <c r="G1793" i="1"/>
  <c r="A1794" i="1"/>
  <c r="B1794" i="1"/>
  <c r="G1794" i="1"/>
  <c r="A1795" i="1"/>
  <c r="B1795" i="1"/>
  <c r="G1795" i="1"/>
  <c r="A1796" i="1"/>
  <c r="B1796" i="1"/>
  <c r="G1796" i="1"/>
  <c r="A1797" i="1"/>
  <c r="B1797" i="1"/>
  <c r="G1797" i="1"/>
  <c r="A1798" i="1"/>
  <c r="B1798" i="1"/>
  <c r="G1798" i="1"/>
  <c r="A1799" i="1"/>
  <c r="B1799" i="1"/>
  <c r="G1799" i="1"/>
  <c r="A1800" i="1"/>
  <c r="B1800" i="1"/>
  <c r="G1800" i="1"/>
  <c r="A1801" i="1"/>
  <c r="B1801" i="1"/>
  <c r="G1801" i="1"/>
  <c r="A1802" i="1"/>
  <c r="B1802" i="1"/>
  <c r="G1802" i="1"/>
  <c r="A1803" i="1"/>
  <c r="B1803" i="1"/>
  <c r="G1803" i="1"/>
  <c r="A1804" i="1"/>
  <c r="B1804" i="1"/>
  <c r="G1804" i="1"/>
  <c r="A1805" i="1"/>
  <c r="B1805" i="1"/>
  <c r="G1805" i="1"/>
  <c r="A1806" i="1"/>
  <c r="B1806" i="1"/>
  <c r="G1806" i="1"/>
  <c r="A1807" i="1"/>
  <c r="B1807" i="1"/>
  <c r="G1807" i="1"/>
  <c r="A1808" i="1"/>
  <c r="B1808" i="1"/>
  <c r="G1808" i="1"/>
  <c r="A1809" i="1"/>
  <c r="B1809" i="1"/>
  <c r="G1809" i="1"/>
  <c r="A1810" i="1"/>
  <c r="B1810" i="1"/>
  <c r="G1810" i="1"/>
  <c r="A1811" i="1"/>
  <c r="B1811" i="1"/>
  <c r="G1811" i="1"/>
  <c r="A1812" i="1"/>
  <c r="B1812" i="1"/>
  <c r="G1812" i="1"/>
  <c r="A1813" i="1"/>
  <c r="B1813" i="1"/>
  <c r="G1813" i="1"/>
  <c r="A1814" i="1"/>
  <c r="B1814" i="1"/>
  <c r="G1814" i="1"/>
  <c r="A1815" i="1"/>
  <c r="B1815" i="1"/>
  <c r="G1815" i="1"/>
  <c r="A1816" i="1"/>
  <c r="B1816" i="1"/>
  <c r="G1816" i="1"/>
  <c r="A1817" i="1"/>
  <c r="B1817" i="1"/>
  <c r="G1817" i="1"/>
  <c r="A1818" i="1"/>
  <c r="B1818" i="1"/>
  <c r="G1818" i="1"/>
  <c r="A1819" i="1"/>
  <c r="B1819" i="1"/>
  <c r="G1819" i="1"/>
  <c r="A1820" i="1"/>
  <c r="B1820" i="1"/>
  <c r="G1820" i="1"/>
  <c r="A1821" i="1"/>
  <c r="B1821" i="1"/>
  <c r="G1821" i="1"/>
  <c r="A1822" i="1"/>
  <c r="B1822" i="1"/>
  <c r="G1822" i="1"/>
  <c r="A1823" i="1"/>
  <c r="B1823" i="1"/>
  <c r="G1823" i="1"/>
  <c r="A1824" i="1"/>
  <c r="B1824" i="1"/>
  <c r="G1824" i="1"/>
  <c r="A1825" i="1"/>
  <c r="B1825" i="1"/>
  <c r="G1825" i="1"/>
  <c r="A1826" i="1"/>
  <c r="B1826" i="1"/>
  <c r="G1826" i="1"/>
  <c r="A1827" i="1"/>
  <c r="B1827" i="1"/>
  <c r="G1827" i="1"/>
  <c r="A1828" i="1"/>
  <c r="B1828" i="1"/>
  <c r="G1828" i="1"/>
  <c r="A1829" i="1"/>
  <c r="B1829" i="1"/>
  <c r="G1829" i="1"/>
  <c r="A1830" i="1"/>
  <c r="B1830" i="1"/>
  <c r="G1830" i="1"/>
  <c r="A1831" i="1"/>
  <c r="B1831" i="1"/>
  <c r="G1831" i="1"/>
  <c r="A1832" i="1"/>
  <c r="B1832" i="1"/>
  <c r="G1832" i="1"/>
  <c r="A1833" i="1"/>
  <c r="B1833" i="1"/>
  <c r="G1833" i="1"/>
  <c r="A1834" i="1"/>
  <c r="B1834" i="1"/>
  <c r="G1834" i="1"/>
  <c r="A1835" i="1"/>
  <c r="B1835" i="1"/>
  <c r="G1835" i="1"/>
  <c r="A1836" i="1"/>
  <c r="B1836" i="1"/>
  <c r="G1836" i="1"/>
  <c r="A1837" i="1"/>
  <c r="B1837" i="1"/>
  <c r="G1837" i="1"/>
  <c r="A1838" i="1"/>
  <c r="B1838" i="1"/>
  <c r="G1838" i="1"/>
  <c r="A1839" i="1"/>
  <c r="B1839" i="1"/>
  <c r="G1839" i="1"/>
  <c r="A1840" i="1"/>
  <c r="B1840" i="1"/>
  <c r="G1840" i="1"/>
  <c r="A1841" i="1"/>
  <c r="B1841" i="1"/>
  <c r="G1841" i="1"/>
  <c r="A1842" i="1"/>
  <c r="B1842" i="1"/>
  <c r="G1842" i="1"/>
  <c r="A1843" i="1"/>
  <c r="B1843" i="1"/>
  <c r="G1843" i="1"/>
  <c r="A1844" i="1"/>
  <c r="B1844" i="1"/>
  <c r="G1844" i="1"/>
  <c r="A1845" i="1"/>
  <c r="B1845" i="1"/>
  <c r="G1845" i="1"/>
  <c r="A1846" i="1"/>
  <c r="B1846" i="1"/>
  <c r="G1846" i="1"/>
  <c r="A1847" i="1"/>
  <c r="B1847" i="1"/>
  <c r="G1847" i="1"/>
  <c r="A1848" i="1"/>
  <c r="B1848" i="1"/>
  <c r="G1848" i="1"/>
  <c r="A1849" i="1"/>
  <c r="B1849" i="1"/>
  <c r="G1849" i="1"/>
  <c r="A1850" i="1"/>
  <c r="B1850" i="1"/>
  <c r="G1850" i="1"/>
  <c r="A1851" i="1"/>
  <c r="B1851" i="1"/>
  <c r="G1851" i="1"/>
  <c r="A1852" i="1"/>
  <c r="B1852" i="1"/>
  <c r="G1852" i="1"/>
  <c r="A1853" i="1"/>
  <c r="B1853" i="1"/>
  <c r="G1853" i="1"/>
  <c r="A1854" i="1"/>
  <c r="B1854" i="1"/>
  <c r="G1854" i="1"/>
  <c r="A1855" i="1"/>
  <c r="B1855" i="1"/>
  <c r="G1855" i="1"/>
  <c r="A1856" i="1"/>
  <c r="B1856" i="1"/>
  <c r="G1856" i="1"/>
  <c r="A1857" i="1"/>
  <c r="B1857" i="1"/>
  <c r="G1857" i="1"/>
  <c r="A1858" i="1"/>
  <c r="B1858" i="1"/>
  <c r="G1858" i="1"/>
  <c r="A1859" i="1"/>
  <c r="B1859" i="1"/>
  <c r="G1859" i="1"/>
  <c r="A1860" i="1"/>
  <c r="B1860" i="1"/>
  <c r="G1860" i="1"/>
  <c r="A1861" i="1"/>
  <c r="B1861" i="1"/>
  <c r="G1861" i="1"/>
  <c r="A1862" i="1"/>
  <c r="B1862" i="1"/>
  <c r="G1862" i="1"/>
  <c r="A1863" i="1"/>
  <c r="B1863" i="1"/>
  <c r="G1863" i="1"/>
  <c r="A1864" i="1"/>
  <c r="B1864" i="1"/>
  <c r="G1864" i="1"/>
  <c r="A1865" i="1"/>
  <c r="B1865" i="1"/>
  <c r="G1865" i="1"/>
  <c r="A1866" i="1"/>
  <c r="B1866" i="1"/>
  <c r="G1866" i="1"/>
  <c r="A1867" i="1"/>
  <c r="B1867" i="1"/>
  <c r="G1867" i="1"/>
  <c r="A1868" i="1"/>
  <c r="B1868" i="1"/>
  <c r="G1868" i="1"/>
  <c r="A1869" i="1"/>
  <c r="B1869" i="1"/>
  <c r="G1869" i="1"/>
  <c r="A1870" i="1"/>
  <c r="B1870" i="1"/>
  <c r="G1870" i="1"/>
  <c r="A1871" i="1"/>
  <c r="B1871" i="1"/>
  <c r="G1871" i="1"/>
  <c r="A1872" i="1"/>
  <c r="B1872" i="1"/>
  <c r="G1872" i="1"/>
  <c r="A1873" i="1"/>
  <c r="B1873" i="1"/>
  <c r="G1873" i="1"/>
  <c r="A1874" i="1"/>
  <c r="B1874" i="1"/>
  <c r="G1874" i="1"/>
  <c r="A1875" i="1"/>
  <c r="B1875" i="1"/>
  <c r="G1875" i="1"/>
  <c r="A1876" i="1"/>
  <c r="B1876" i="1"/>
  <c r="G1876" i="1"/>
  <c r="A1877" i="1"/>
  <c r="B1877" i="1"/>
  <c r="G1877" i="1"/>
  <c r="A1878" i="1"/>
  <c r="B1878" i="1"/>
  <c r="G1878" i="1"/>
  <c r="A1879" i="1"/>
  <c r="B1879" i="1"/>
  <c r="G1879" i="1"/>
  <c r="A1880" i="1"/>
  <c r="B1880" i="1"/>
  <c r="G1880" i="1"/>
  <c r="A1881" i="1"/>
  <c r="B1881" i="1"/>
  <c r="G1881" i="1"/>
  <c r="A1882" i="1"/>
  <c r="B1882" i="1"/>
  <c r="G1882" i="1"/>
  <c r="A1883" i="1"/>
  <c r="B1883" i="1"/>
  <c r="G1883" i="1"/>
  <c r="A1884" i="1"/>
  <c r="B1884" i="1"/>
  <c r="G1884" i="1"/>
  <c r="A1885" i="1"/>
  <c r="B1885" i="1"/>
  <c r="G1885" i="1"/>
  <c r="A1886" i="1"/>
  <c r="B1886" i="1"/>
  <c r="G1886" i="1"/>
  <c r="A1887" i="1"/>
  <c r="B1887" i="1"/>
  <c r="G1887" i="1"/>
  <c r="A1888" i="1"/>
  <c r="B1888" i="1"/>
  <c r="G1888" i="1"/>
  <c r="A1889" i="1"/>
  <c r="B1889" i="1"/>
  <c r="G1889" i="1"/>
  <c r="A1890" i="1"/>
  <c r="B1890" i="1"/>
  <c r="G1890" i="1"/>
  <c r="A1891" i="1"/>
  <c r="B1891" i="1"/>
  <c r="G1891" i="1"/>
  <c r="A1892" i="1"/>
  <c r="B1892" i="1"/>
  <c r="G1892" i="1"/>
  <c r="A1893" i="1"/>
  <c r="B1893" i="1"/>
  <c r="G1893" i="1"/>
  <c r="A1894" i="1"/>
  <c r="B1894" i="1"/>
  <c r="G1894" i="1"/>
  <c r="A1895" i="1"/>
  <c r="B1895" i="1"/>
  <c r="G1895" i="1"/>
  <c r="A1896" i="1"/>
  <c r="B1896" i="1"/>
  <c r="G1896" i="1"/>
  <c r="A1897" i="1"/>
  <c r="B1897" i="1"/>
  <c r="G1897" i="1"/>
  <c r="A1898" i="1"/>
  <c r="B1898" i="1"/>
  <c r="G1898" i="1"/>
  <c r="A1899" i="1"/>
  <c r="B1899" i="1"/>
  <c r="G1899" i="1"/>
  <c r="A1900" i="1"/>
  <c r="B1900" i="1"/>
  <c r="G1900" i="1"/>
  <c r="A1901" i="1"/>
  <c r="B1901" i="1"/>
  <c r="G1901" i="1"/>
  <c r="A1902" i="1"/>
  <c r="B1902" i="1"/>
  <c r="G1902" i="1"/>
  <c r="A1903" i="1"/>
  <c r="B1903" i="1"/>
  <c r="G1903" i="1"/>
  <c r="A1904" i="1"/>
  <c r="B1904" i="1"/>
  <c r="G1904" i="1"/>
  <c r="A1905" i="1"/>
  <c r="B1905" i="1"/>
  <c r="G1905" i="1"/>
  <c r="A1906" i="1"/>
  <c r="B1906" i="1"/>
  <c r="G1906" i="1"/>
  <c r="A1907" i="1"/>
  <c r="B1907" i="1"/>
  <c r="G1907" i="1"/>
  <c r="A1908" i="1"/>
  <c r="B1908" i="1"/>
  <c r="G1908" i="1"/>
  <c r="A1909" i="1"/>
  <c r="B1909" i="1"/>
  <c r="G1909" i="1"/>
  <c r="A1910" i="1"/>
  <c r="B1910" i="1"/>
  <c r="G1910" i="1"/>
  <c r="A1911" i="1"/>
  <c r="B1911" i="1"/>
  <c r="G1911" i="1"/>
  <c r="A1912" i="1"/>
  <c r="B1912" i="1"/>
  <c r="G1912" i="1"/>
  <c r="A1913" i="1"/>
  <c r="B1913" i="1"/>
  <c r="G1913" i="1"/>
  <c r="A1914" i="1"/>
  <c r="B1914" i="1"/>
  <c r="G1914" i="1"/>
  <c r="A1915" i="1"/>
  <c r="B1915" i="1"/>
  <c r="G1915" i="1"/>
  <c r="A1916" i="1"/>
  <c r="B1916" i="1"/>
  <c r="G1916" i="1"/>
  <c r="A1917" i="1"/>
  <c r="B1917" i="1"/>
  <c r="G1917" i="1"/>
  <c r="A1918" i="1"/>
  <c r="B1918" i="1"/>
  <c r="G1918" i="1"/>
  <c r="A1919" i="1"/>
  <c r="B1919" i="1"/>
  <c r="G1919" i="1"/>
  <c r="A1920" i="1"/>
  <c r="B1920" i="1"/>
  <c r="G1920" i="1"/>
  <c r="A1921" i="1"/>
  <c r="B1921" i="1"/>
  <c r="G1921" i="1"/>
  <c r="A1922" i="1"/>
  <c r="B1922" i="1"/>
  <c r="G1922" i="1"/>
  <c r="A1923" i="1"/>
  <c r="B1923" i="1"/>
  <c r="G1923" i="1"/>
  <c r="A1924" i="1"/>
  <c r="B1924" i="1"/>
  <c r="G1924" i="1"/>
  <c r="A1925" i="1"/>
  <c r="B1925" i="1"/>
  <c r="G1925" i="1"/>
  <c r="A1926" i="1"/>
  <c r="B1926" i="1"/>
  <c r="G1926" i="1"/>
  <c r="A1927" i="1"/>
  <c r="B1927" i="1"/>
  <c r="G1927" i="1"/>
  <c r="A1928" i="1"/>
  <c r="B1928" i="1"/>
  <c r="G1928" i="1"/>
  <c r="A1929" i="1"/>
  <c r="B1929" i="1"/>
  <c r="G1929" i="1"/>
  <c r="A1930" i="1"/>
  <c r="B1930" i="1"/>
  <c r="G1930" i="1"/>
  <c r="A1931" i="1"/>
  <c r="B1931" i="1"/>
  <c r="G1931" i="1"/>
  <c r="A1932" i="1"/>
  <c r="B1932" i="1"/>
  <c r="G1932" i="1"/>
  <c r="A1933" i="1"/>
  <c r="B1933" i="1"/>
  <c r="G1933" i="1"/>
  <c r="A1934" i="1"/>
  <c r="B1934" i="1"/>
  <c r="G1934" i="1"/>
  <c r="A1935" i="1"/>
  <c r="B1935" i="1"/>
  <c r="G1935" i="1"/>
  <c r="A1936" i="1"/>
  <c r="B1936" i="1"/>
  <c r="G1936" i="1"/>
  <c r="A1937" i="1"/>
  <c r="B1937" i="1"/>
  <c r="G1937" i="1"/>
  <c r="A1938" i="1"/>
  <c r="B1938" i="1"/>
  <c r="G1938" i="1"/>
  <c r="A1939" i="1"/>
  <c r="B1939" i="1"/>
  <c r="G1939" i="1"/>
  <c r="A1940" i="1"/>
  <c r="B1940" i="1"/>
  <c r="G1940" i="1"/>
  <c r="A1941" i="1"/>
  <c r="B1941" i="1"/>
  <c r="G1941" i="1"/>
  <c r="A1942" i="1"/>
  <c r="B1942" i="1"/>
  <c r="G1942" i="1"/>
  <c r="A1943" i="1"/>
  <c r="B1943" i="1"/>
  <c r="G1943" i="1"/>
  <c r="A1944" i="1"/>
  <c r="B1944" i="1"/>
  <c r="G1944" i="1"/>
  <c r="A1945" i="1"/>
  <c r="B1945" i="1"/>
  <c r="G1945" i="1"/>
  <c r="A1946" i="1"/>
  <c r="B1946" i="1"/>
  <c r="G1946" i="1"/>
  <c r="A1947" i="1"/>
  <c r="B1947" i="1"/>
  <c r="G1947" i="1"/>
  <c r="A1948" i="1"/>
  <c r="B1948" i="1"/>
  <c r="G1948" i="1"/>
  <c r="A1949" i="1"/>
  <c r="B1949" i="1"/>
  <c r="G1949" i="1"/>
  <c r="A1950" i="1"/>
  <c r="B1950" i="1"/>
  <c r="G1950" i="1"/>
  <c r="A1951" i="1"/>
  <c r="B1951" i="1"/>
  <c r="G1951" i="1"/>
  <c r="A1952" i="1"/>
  <c r="B1952" i="1"/>
  <c r="G1952" i="1"/>
  <c r="A1953" i="1"/>
  <c r="B1953" i="1"/>
  <c r="G1953" i="1"/>
  <c r="A1954" i="1"/>
  <c r="B1954" i="1"/>
  <c r="G1954" i="1"/>
  <c r="A1955" i="1"/>
  <c r="B1955" i="1"/>
  <c r="G1955" i="1"/>
  <c r="A1956" i="1"/>
  <c r="B1956" i="1"/>
  <c r="G1956" i="1"/>
  <c r="A1957" i="1"/>
  <c r="B1957" i="1"/>
  <c r="G1957" i="1"/>
  <c r="A1958" i="1"/>
  <c r="B1958" i="1"/>
  <c r="G1958" i="1"/>
  <c r="A1959" i="1"/>
  <c r="B1959" i="1"/>
  <c r="G1959" i="1"/>
  <c r="A1960" i="1"/>
  <c r="B1960" i="1"/>
  <c r="G1960" i="1"/>
  <c r="A1961" i="1"/>
  <c r="B1961" i="1"/>
  <c r="G1961" i="1"/>
  <c r="A1962" i="1"/>
  <c r="B1962" i="1"/>
  <c r="G1962" i="1"/>
  <c r="A1963" i="1"/>
  <c r="B1963" i="1"/>
  <c r="G1963" i="1"/>
  <c r="A1964" i="1"/>
  <c r="B1964" i="1"/>
  <c r="G1964" i="1"/>
  <c r="A1965" i="1"/>
  <c r="B1965" i="1"/>
  <c r="G1965" i="1"/>
  <c r="A1966" i="1"/>
  <c r="B1966" i="1"/>
  <c r="G1966" i="1"/>
  <c r="A1967" i="1"/>
  <c r="B1967" i="1"/>
  <c r="G1967" i="1"/>
  <c r="A1968" i="1"/>
  <c r="B1968" i="1"/>
  <c r="G1968" i="1"/>
  <c r="A1969" i="1"/>
  <c r="B1969" i="1"/>
  <c r="G1969" i="1"/>
  <c r="A1970" i="1"/>
  <c r="B1970" i="1"/>
  <c r="G1970" i="1"/>
  <c r="A1971" i="1"/>
  <c r="B1971" i="1"/>
  <c r="G1971" i="1"/>
  <c r="A1972" i="1"/>
  <c r="B1972" i="1"/>
  <c r="G1972" i="1"/>
  <c r="A1973" i="1"/>
  <c r="B1973" i="1"/>
  <c r="G1973" i="1"/>
  <c r="A1974" i="1"/>
  <c r="B1974" i="1"/>
  <c r="G1974" i="1"/>
  <c r="A1975" i="1"/>
  <c r="B1975" i="1"/>
  <c r="G1975" i="1"/>
  <c r="A1976" i="1"/>
  <c r="B1976" i="1"/>
  <c r="G1976" i="1"/>
  <c r="A1977" i="1"/>
  <c r="B1977" i="1"/>
  <c r="G1977" i="1"/>
  <c r="A1978" i="1"/>
  <c r="B1978" i="1"/>
  <c r="G1978" i="1"/>
  <c r="A1979" i="1"/>
  <c r="B1979" i="1"/>
  <c r="G1979" i="1"/>
  <c r="A1980" i="1"/>
  <c r="B1980" i="1"/>
  <c r="G1980" i="1"/>
  <c r="A1981" i="1"/>
  <c r="B1981" i="1"/>
  <c r="G1981" i="1"/>
  <c r="A1982" i="1"/>
  <c r="B1982" i="1"/>
  <c r="G1982" i="1"/>
  <c r="A1983" i="1"/>
  <c r="B1983" i="1"/>
  <c r="G1983" i="1"/>
  <c r="A1984" i="1"/>
  <c r="B1984" i="1"/>
  <c r="G1984" i="1"/>
  <c r="A1985" i="1"/>
  <c r="B1985" i="1"/>
  <c r="G1985" i="1"/>
  <c r="A1986" i="1"/>
  <c r="B1986" i="1"/>
  <c r="G1986" i="1"/>
  <c r="A1987" i="1"/>
  <c r="B1987" i="1"/>
  <c r="G1987" i="1"/>
  <c r="A1988" i="1"/>
  <c r="B1988" i="1"/>
  <c r="G1988" i="1"/>
  <c r="A1989" i="1"/>
  <c r="B1989" i="1"/>
  <c r="G1989" i="1"/>
  <c r="A1990" i="1"/>
  <c r="B1990" i="1"/>
  <c r="G1990" i="1"/>
  <c r="A1991" i="1"/>
  <c r="B1991" i="1"/>
  <c r="G1991" i="1"/>
  <c r="A1992" i="1"/>
  <c r="B1992" i="1"/>
  <c r="G1992" i="1"/>
  <c r="A1993" i="1"/>
  <c r="B1993" i="1"/>
  <c r="G1993" i="1"/>
  <c r="A1994" i="1"/>
  <c r="B1994" i="1"/>
  <c r="G1994" i="1"/>
  <c r="A1995" i="1"/>
  <c r="B1995" i="1"/>
  <c r="G1995" i="1"/>
  <c r="A1996" i="1"/>
  <c r="B1996" i="1"/>
  <c r="G1996" i="1"/>
  <c r="A1997" i="1"/>
  <c r="B1997" i="1"/>
  <c r="G1997" i="1"/>
  <c r="A1998" i="1"/>
  <c r="B1998" i="1"/>
  <c r="G1998" i="1"/>
  <c r="A1999" i="1"/>
  <c r="B1999" i="1"/>
  <c r="G1999" i="1"/>
  <c r="A2000" i="1"/>
  <c r="B2000" i="1"/>
  <c r="G2000" i="1"/>
  <c r="A2001" i="1"/>
  <c r="B2001" i="1"/>
  <c r="G2001" i="1"/>
  <c r="A2002" i="1"/>
  <c r="B2002" i="1"/>
  <c r="G2002" i="1"/>
  <c r="A2003" i="1"/>
  <c r="B2003" i="1"/>
  <c r="G2003" i="1"/>
  <c r="A2004" i="1"/>
  <c r="B2004" i="1"/>
  <c r="G2004" i="1"/>
  <c r="A2005" i="1"/>
  <c r="B2005" i="1"/>
  <c r="G2005" i="1"/>
  <c r="A2006" i="1"/>
  <c r="B2006" i="1"/>
  <c r="G2006" i="1"/>
  <c r="A2007" i="1"/>
  <c r="B2007" i="1"/>
  <c r="G2007" i="1"/>
  <c r="A2008" i="1"/>
  <c r="B2008" i="1"/>
  <c r="G2008" i="1"/>
  <c r="A2009" i="1"/>
  <c r="B2009" i="1"/>
  <c r="G2009" i="1"/>
  <c r="A2010" i="1"/>
  <c r="B2010" i="1"/>
  <c r="G2010" i="1"/>
  <c r="A2011" i="1"/>
  <c r="B2011" i="1"/>
  <c r="G2011" i="1"/>
  <c r="A2012" i="1"/>
  <c r="B2012" i="1"/>
  <c r="G2012" i="1"/>
  <c r="A2013" i="1"/>
  <c r="B2013" i="1"/>
  <c r="G2013" i="1"/>
  <c r="A2014" i="1"/>
  <c r="B2014" i="1"/>
  <c r="G2014" i="1"/>
  <c r="A2015" i="1"/>
  <c r="B2015" i="1"/>
  <c r="G2015" i="1"/>
  <c r="A2016" i="1"/>
  <c r="B2016" i="1"/>
  <c r="G2016" i="1"/>
  <c r="A2017" i="1"/>
  <c r="B2017" i="1"/>
  <c r="G2017" i="1"/>
  <c r="A2018" i="1"/>
  <c r="B2018" i="1"/>
  <c r="G2018" i="1"/>
  <c r="A2019" i="1"/>
  <c r="B2019" i="1"/>
  <c r="G2019" i="1"/>
  <c r="A2020" i="1"/>
  <c r="B2020" i="1"/>
  <c r="G2020" i="1"/>
  <c r="A2021" i="1"/>
  <c r="B2021" i="1"/>
  <c r="G2021" i="1"/>
  <c r="A2022" i="1"/>
  <c r="B2022" i="1"/>
  <c r="G2022" i="1"/>
  <c r="A2023" i="1"/>
  <c r="B2023" i="1"/>
  <c r="G2023" i="1"/>
  <c r="A2024" i="1"/>
  <c r="B2024" i="1"/>
  <c r="G2024" i="1"/>
  <c r="A2025" i="1"/>
  <c r="B2025" i="1"/>
  <c r="G2025" i="1"/>
  <c r="A2026" i="1"/>
  <c r="B2026" i="1"/>
  <c r="G2026" i="1"/>
  <c r="A2027" i="1"/>
  <c r="B2027" i="1"/>
  <c r="G2027" i="1"/>
  <c r="A2028" i="1"/>
  <c r="B2028" i="1"/>
  <c r="G2028" i="1"/>
  <c r="A2029" i="1"/>
  <c r="B2029" i="1"/>
  <c r="G2029" i="1"/>
  <c r="A2030" i="1"/>
  <c r="B2030" i="1"/>
  <c r="G2030" i="1"/>
  <c r="A2031" i="1"/>
  <c r="B2031" i="1"/>
  <c r="G2031" i="1"/>
  <c r="A2032" i="1"/>
  <c r="B2032" i="1"/>
  <c r="G2032" i="1"/>
  <c r="A2033" i="1"/>
  <c r="B2033" i="1"/>
  <c r="G2033" i="1"/>
  <c r="A2034" i="1"/>
  <c r="B2034" i="1"/>
  <c r="G2034" i="1"/>
  <c r="A2035" i="1"/>
  <c r="B2035" i="1"/>
  <c r="G2035" i="1"/>
  <c r="A2036" i="1"/>
  <c r="B2036" i="1"/>
  <c r="G2036" i="1"/>
  <c r="A2037" i="1"/>
  <c r="B2037" i="1"/>
  <c r="G2037" i="1"/>
  <c r="A2038" i="1"/>
  <c r="B2038" i="1"/>
  <c r="G2038" i="1"/>
  <c r="A2039" i="1"/>
  <c r="B2039" i="1"/>
  <c r="G2039" i="1"/>
  <c r="A2040" i="1"/>
  <c r="B2040" i="1"/>
  <c r="G2040" i="1"/>
  <c r="A2041" i="1"/>
  <c r="B2041" i="1"/>
  <c r="G2041" i="1"/>
  <c r="A2042" i="1"/>
  <c r="B2042" i="1"/>
  <c r="G2042" i="1"/>
  <c r="A2043" i="1"/>
  <c r="B2043" i="1"/>
  <c r="G2043" i="1"/>
  <c r="A2044" i="1"/>
  <c r="B2044" i="1"/>
  <c r="G2044" i="1"/>
  <c r="A2045" i="1"/>
  <c r="B2045" i="1"/>
  <c r="G2045" i="1"/>
  <c r="A2046" i="1"/>
  <c r="B2046" i="1"/>
  <c r="G2046" i="1"/>
  <c r="A2047" i="1"/>
  <c r="B2047" i="1"/>
  <c r="G2047" i="1"/>
  <c r="A2048" i="1"/>
  <c r="B2048" i="1"/>
  <c r="G2048" i="1"/>
  <c r="A2049" i="1"/>
  <c r="B2049" i="1"/>
  <c r="G2049" i="1"/>
  <c r="A2050" i="1"/>
  <c r="B2050" i="1"/>
  <c r="G2050" i="1"/>
  <c r="A2051" i="1"/>
  <c r="B2051" i="1"/>
  <c r="G2051" i="1"/>
  <c r="A2052" i="1"/>
  <c r="B2052" i="1"/>
  <c r="G2052" i="1"/>
  <c r="A2053" i="1"/>
  <c r="B2053" i="1"/>
  <c r="G2053" i="1"/>
  <c r="A2054" i="1"/>
  <c r="B2054" i="1"/>
  <c r="G2054" i="1"/>
  <c r="A2055" i="1"/>
  <c r="B2055" i="1"/>
  <c r="G2055" i="1"/>
  <c r="A2056" i="1"/>
  <c r="B2056" i="1"/>
  <c r="G2056" i="1"/>
  <c r="A2057" i="1"/>
  <c r="B2057" i="1"/>
  <c r="G2057" i="1"/>
  <c r="A2058" i="1"/>
  <c r="B2058" i="1"/>
  <c r="G2058" i="1"/>
  <c r="A2059" i="1"/>
  <c r="B2059" i="1"/>
  <c r="G2059" i="1"/>
  <c r="A2060" i="1"/>
  <c r="B2060" i="1"/>
  <c r="G2060" i="1"/>
  <c r="A2061" i="1"/>
  <c r="B2061" i="1"/>
  <c r="G2061" i="1"/>
  <c r="A2062" i="1"/>
  <c r="B2062" i="1"/>
  <c r="G2062" i="1"/>
  <c r="A2063" i="1"/>
  <c r="B2063" i="1"/>
  <c r="G2063" i="1"/>
  <c r="A2064" i="1"/>
  <c r="B2064" i="1"/>
  <c r="G2064" i="1"/>
  <c r="A2065" i="1"/>
  <c r="B2065" i="1"/>
  <c r="G2065" i="1"/>
  <c r="A2066" i="1"/>
  <c r="B2066" i="1"/>
  <c r="G2066" i="1"/>
  <c r="A2067" i="1"/>
  <c r="B2067" i="1"/>
  <c r="G2067" i="1"/>
  <c r="A2068" i="1"/>
  <c r="B2068" i="1"/>
  <c r="G2068" i="1"/>
  <c r="A2069" i="1"/>
  <c r="B2069" i="1"/>
  <c r="G2069" i="1"/>
  <c r="A2070" i="1"/>
  <c r="B2070" i="1"/>
  <c r="G2070" i="1"/>
  <c r="A2071" i="1"/>
  <c r="B2071" i="1"/>
  <c r="G2071" i="1"/>
  <c r="A2072" i="1"/>
  <c r="B2072" i="1"/>
  <c r="G2072" i="1"/>
  <c r="A2073" i="1"/>
  <c r="B2073" i="1"/>
  <c r="G2073" i="1"/>
  <c r="A2074" i="1"/>
  <c r="B2074" i="1"/>
  <c r="G2074" i="1"/>
  <c r="A2075" i="1"/>
  <c r="B2075" i="1"/>
  <c r="G2075" i="1"/>
  <c r="A2076" i="1"/>
  <c r="B2076" i="1"/>
  <c r="G2076" i="1"/>
  <c r="A2077" i="1"/>
  <c r="B2077" i="1"/>
  <c r="G2077" i="1"/>
  <c r="A2078" i="1"/>
  <c r="B2078" i="1"/>
  <c r="G2078" i="1"/>
  <c r="A2079" i="1"/>
  <c r="B2079" i="1"/>
  <c r="G2079" i="1"/>
  <c r="A2080" i="1"/>
  <c r="B2080" i="1"/>
  <c r="G2080" i="1"/>
  <c r="A2081" i="1"/>
  <c r="B2081" i="1"/>
  <c r="G2081" i="1"/>
  <c r="A2082" i="1"/>
  <c r="B2082" i="1"/>
  <c r="G2082" i="1"/>
  <c r="A2083" i="1"/>
  <c r="B2083" i="1"/>
  <c r="G2083" i="1"/>
  <c r="A2084" i="1"/>
  <c r="B2084" i="1"/>
  <c r="G2084" i="1"/>
  <c r="A2085" i="1"/>
  <c r="B2085" i="1"/>
  <c r="G2085" i="1"/>
  <c r="A2086" i="1"/>
  <c r="B2086" i="1"/>
  <c r="G2086" i="1"/>
  <c r="A2087" i="1"/>
  <c r="B2087" i="1"/>
  <c r="G2087" i="1"/>
  <c r="A2088" i="1"/>
  <c r="B2088" i="1"/>
  <c r="G2088" i="1"/>
  <c r="A2089" i="1"/>
  <c r="B2089" i="1"/>
  <c r="G2089" i="1"/>
  <c r="A2090" i="1"/>
  <c r="B2090" i="1"/>
  <c r="G2090" i="1"/>
  <c r="A2091" i="1"/>
  <c r="B2091" i="1"/>
  <c r="G2091" i="1"/>
  <c r="A2092" i="1"/>
  <c r="B2092" i="1"/>
  <c r="G2092" i="1"/>
  <c r="A2093" i="1"/>
  <c r="B2093" i="1"/>
  <c r="G2093" i="1"/>
  <c r="A2094" i="1"/>
  <c r="B2094" i="1"/>
  <c r="G2094" i="1"/>
  <c r="A2095" i="1"/>
  <c r="B2095" i="1"/>
  <c r="G2095" i="1"/>
  <c r="A2096" i="1"/>
  <c r="B2096" i="1"/>
  <c r="G2096" i="1"/>
  <c r="A2097" i="1"/>
  <c r="B2097" i="1"/>
  <c r="G2097" i="1"/>
  <c r="A2098" i="1"/>
  <c r="B2098" i="1"/>
  <c r="G2098" i="1"/>
  <c r="A2099" i="1"/>
  <c r="B2099" i="1"/>
  <c r="G2099" i="1"/>
  <c r="A2100" i="1"/>
  <c r="B2100" i="1"/>
  <c r="G2100" i="1"/>
  <c r="A2101" i="1"/>
  <c r="B2101" i="1"/>
  <c r="G2101" i="1"/>
  <c r="A2102" i="1"/>
  <c r="B2102" i="1"/>
  <c r="G2102" i="1"/>
  <c r="A2103" i="1"/>
  <c r="B2103" i="1"/>
  <c r="G2103" i="1"/>
  <c r="A2104" i="1"/>
  <c r="B2104" i="1"/>
  <c r="G2104" i="1"/>
  <c r="A2105" i="1"/>
  <c r="B2105" i="1"/>
  <c r="G2105" i="1"/>
  <c r="A2106" i="1"/>
  <c r="B2106" i="1"/>
  <c r="G2106" i="1"/>
  <c r="A2107" i="1"/>
  <c r="B2107" i="1"/>
  <c r="G2107" i="1"/>
  <c r="A2108" i="1"/>
  <c r="B2108" i="1"/>
  <c r="G2108" i="1"/>
  <c r="A2109" i="1"/>
  <c r="B2109" i="1"/>
  <c r="G2109" i="1"/>
  <c r="A2110" i="1"/>
  <c r="B2110" i="1"/>
  <c r="G2110" i="1"/>
  <c r="A2111" i="1"/>
  <c r="B2111" i="1"/>
  <c r="G2111" i="1"/>
  <c r="A2112" i="1"/>
  <c r="B2112" i="1"/>
  <c r="G2112" i="1"/>
  <c r="A2113" i="1"/>
  <c r="B2113" i="1"/>
  <c r="G2113" i="1"/>
  <c r="A2114" i="1"/>
  <c r="B2114" i="1"/>
  <c r="G2114" i="1"/>
  <c r="A2115" i="1"/>
  <c r="B2115" i="1"/>
  <c r="G2115" i="1"/>
  <c r="A2116" i="1"/>
  <c r="B2116" i="1"/>
  <c r="G2116" i="1"/>
  <c r="A2117" i="1"/>
  <c r="B2117" i="1"/>
  <c r="G2117" i="1"/>
  <c r="A2118" i="1"/>
  <c r="B2118" i="1"/>
  <c r="G2118" i="1"/>
  <c r="A2119" i="1"/>
  <c r="B2119" i="1"/>
  <c r="G2119" i="1"/>
  <c r="A2120" i="1"/>
  <c r="B2120" i="1"/>
  <c r="G2120" i="1"/>
  <c r="A2121" i="1"/>
  <c r="B2121" i="1"/>
  <c r="G2121" i="1"/>
  <c r="A2122" i="1"/>
  <c r="B2122" i="1"/>
  <c r="G2122" i="1"/>
  <c r="A2123" i="1"/>
  <c r="B2123" i="1"/>
  <c r="G2123" i="1"/>
  <c r="A2124" i="1"/>
  <c r="B2124" i="1"/>
  <c r="G2124" i="1"/>
  <c r="A2125" i="1"/>
  <c r="B2125" i="1"/>
  <c r="G2125" i="1"/>
  <c r="A2126" i="1"/>
  <c r="B2126" i="1"/>
  <c r="G2126" i="1"/>
  <c r="A2127" i="1"/>
  <c r="B2127" i="1"/>
  <c r="G2127" i="1"/>
  <c r="A2128" i="1"/>
  <c r="B2128" i="1"/>
  <c r="G2128" i="1"/>
  <c r="A2129" i="1"/>
  <c r="B2129" i="1"/>
  <c r="G2129" i="1"/>
  <c r="A2130" i="1"/>
  <c r="B2130" i="1"/>
  <c r="G2130" i="1"/>
  <c r="A2131" i="1"/>
  <c r="B2131" i="1"/>
  <c r="G2131" i="1"/>
  <c r="A2132" i="1"/>
  <c r="B2132" i="1"/>
  <c r="G2132" i="1"/>
  <c r="A2133" i="1"/>
  <c r="B2133" i="1"/>
  <c r="G2133" i="1"/>
  <c r="A2134" i="1"/>
  <c r="B2134" i="1"/>
  <c r="G2134" i="1"/>
  <c r="A2135" i="1"/>
  <c r="B2135" i="1"/>
  <c r="G2135" i="1"/>
  <c r="A2136" i="1"/>
  <c r="B2136" i="1"/>
  <c r="G2136" i="1"/>
  <c r="A2137" i="1"/>
  <c r="B2137" i="1"/>
  <c r="G2137" i="1"/>
  <c r="A2138" i="1"/>
  <c r="B2138" i="1"/>
  <c r="G2138" i="1"/>
  <c r="A2139" i="1"/>
  <c r="B2139" i="1"/>
  <c r="G2139" i="1"/>
  <c r="A2140" i="1"/>
  <c r="B2140" i="1"/>
  <c r="G2140" i="1"/>
  <c r="A2141" i="1"/>
  <c r="B2141" i="1"/>
  <c r="G2141" i="1"/>
  <c r="A2142" i="1"/>
  <c r="B2142" i="1"/>
  <c r="G2142" i="1"/>
  <c r="A2143" i="1"/>
  <c r="B2143" i="1"/>
  <c r="G2143" i="1"/>
  <c r="A2144" i="1"/>
  <c r="B2144" i="1"/>
  <c r="G2144" i="1"/>
  <c r="A2145" i="1"/>
  <c r="B2145" i="1"/>
  <c r="G2145" i="1"/>
  <c r="A2146" i="1"/>
  <c r="B2146" i="1"/>
  <c r="G2146" i="1"/>
  <c r="A2147" i="1"/>
  <c r="B2147" i="1"/>
  <c r="G2147" i="1"/>
  <c r="A2148" i="1"/>
  <c r="B2148" i="1"/>
  <c r="G2148" i="1"/>
  <c r="A2149" i="1"/>
  <c r="B2149" i="1"/>
  <c r="G2149" i="1"/>
  <c r="A2150" i="1"/>
  <c r="B2150" i="1"/>
  <c r="G2150" i="1"/>
  <c r="A2151" i="1"/>
  <c r="B2151" i="1"/>
  <c r="G2151" i="1"/>
  <c r="A2152" i="1"/>
  <c r="B2152" i="1"/>
  <c r="G2152" i="1"/>
  <c r="A2153" i="1"/>
  <c r="B2153" i="1"/>
  <c r="G2153" i="1"/>
  <c r="A2154" i="1"/>
  <c r="B2154" i="1"/>
  <c r="G2154" i="1"/>
  <c r="A2155" i="1"/>
  <c r="B2155" i="1"/>
  <c r="G2155" i="1"/>
  <c r="A2156" i="1"/>
  <c r="B2156" i="1"/>
  <c r="G2156" i="1"/>
  <c r="A2157" i="1"/>
  <c r="B2157" i="1"/>
  <c r="G2157" i="1"/>
  <c r="A2158" i="1"/>
  <c r="B2158" i="1"/>
  <c r="G2158" i="1"/>
  <c r="A2159" i="1"/>
  <c r="B2159" i="1"/>
  <c r="G2159" i="1"/>
  <c r="A2160" i="1"/>
  <c r="B2160" i="1"/>
  <c r="G2160" i="1"/>
  <c r="A2161" i="1"/>
  <c r="B2161" i="1"/>
  <c r="G2161" i="1"/>
  <c r="A2162" i="1"/>
  <c r="B2162" i="1"/>
  <c r="G2162" i="1"/>
  <c r="A2163" i="1"/>
  <c r="B2163" i="1"/>
  <c r="G2163" i="1"/>
  <c r="A2164" i="1"/>
  <c r="B2164" i="1"/>
  <c r="G2164" i="1"/>
  <c r="A2165" i="1"/>
  <c r="B2165" i="1"/>
  <c r="G2165" i="1"/>
  <c r="A2166" i="1"/>
  <c r="B2166" i="1"/>
  <c r="G2166" i="1"/>
  <c r="A2167" i="1"/>
  <c r="B2167" i="1"/>
  <c r="G2167" i="1"/>
  <c r="A2168" i="1"/>
  <c r="B2168" i="1"/>
  <c r="G2168" i="1"/>
  <c r="A2169" i="1"/>
  <c r="B2169" i="1"/>
  <c r="G2169" i="1"/>
  <c r="A2170" i="1"/>
  <c r="B2170" i="1"/>
  <c r="G2170" i="1"/>
  <c r="A2171" i="1"/>
  <c r="B2171" i="1"/>
  <c r="G2171" i="1"/>
  <c r="A2172" i="1"/>
  <c r="B2172" i="1"/>
  <c r="G2172" i="1"/>
  <c r="A2173" i="1"/>
  <c r="B2173" i="1"/>
  <c r="G2173" i="1"/>
  <c r="A2174" i="1"/>
  <c r="B2174" i="1"/>
  <c r="G2174" i="1"/>
  <c r="A2175" i="1"/>
  <c r="B2175" i="1"/>
  <c r="G2175" i="1"/>
  <c r="A2176" i="1"/>
  <c r="B2176" i="1"/>
  <c r="G2176" i="1"/>
  <c r="A2177" i="1"/>
  <c r="B2177" i="1"/>
  <c r="G2177" i="1"/>
  <c r="A2178" i="1"/>
  <c r="B2178" i="1"/>
  <c r="G2178" i="1"/>
  <c r="A2179" i="1"/>
  <c r="B2179" i="1"/>
  <c r="G2179" i="1"/>
  <c r="A2180" i="1"/>
  <c r="B2180" i="1"/>
  <c r="G2180" i="1"/>
  <c r="A2181" i="1"/>
  <c r="B2181" i="1"/>
  <c r="G2181" i="1"/>
  <c r="A2182" i="1"/>
  <c r="B2182" i="1"/>
  <c r="G2182" i="1"/>
  <c r="A2183" i="1"/>
  <c r="B2183" i="1"/>
  <c r="G2183" i="1"/>
  <c r="A2184" i="1"/>
  <c r="B2184" i="1"/>
  <c r="G2184" i="1"/>
  <c r="A2185" i="1"/>
  <c r="B2185" i="1"/>
  <c r="G2185" i="1"/>
  <c r="A2186" i="1"/>
  <c r="B2186" i="1"/>
  <c r="G2186" i="1"/>
  <c r="A2187" i="1"/>
  <c r="B2187" i="1"/>
  <c r="G2187" i="1"/>
  <c r="A2188" i="1"/>
  <c r="B2188" i="1"/>
  <c r="G2188" i="1"/>
  <c r="A2189" i="1"/>
  <c r="B2189" i="1"/>
  <c r="G2189" i="1"/>
  <c r="A2190" i="1"/>
  <c r="B2190" i="1"/>
  <c r="G2190" i="1"/>
  <c r="A2191" i="1"/>
  <c r="B2191" i="1"/>
  <c r="G2191" i="1"/>
  <c r="A2192" i="1"/>
  <c r="B2192" i="1"/>
  <c r="G2192" i="1"/>
  <c r="A2193" i="1"/>
  <c r="B2193" i="1"/>
  <c r="G2193" i="1"/>
  <c r="A2194" i="1"/>
  <c r="B2194" i="1"/>
  <c r="G2194" i="1"/>
  <c r="A2195" i="1"/>
  <c r="B2195" i="1"/>
  <c r="G2195" i="1"/>
  <c r="A2196" i="1"/>
  <c r="B2196" i="1"/>
  <c r="G2196" i="1"/>
  <c r="A2197" i="1"/>
  <c r="B2197" i="1"/>
  <c r="G2197" i="1"/>
  <c r="A2198" i="1"/>
  <c r="B2198" i="1"/>
  <c r="G2198" i="1"/>
  <c r="A2199" i="1"/>
  <c r="B2199" i="1"/>
  <c r="G2199" i="1"/>
  <c r="A2200" i="1"/>
  <c r="B2200" i="1"/>
  <c r="G2200" i="1"/>
  <c r="A2201" i="1"/>
  <c r="B2201" i="1"/>
  <c r="G2201" i="1"/>
  <c r="A2202" i="1"/>
  <c r="B2202" i="1"/>
  <c r="G2202" i="1"/>
  <c r="A2203" i="1"/>
  <c r="B2203" i="1"/>
  <c r="G2203" i="1"/>
  <c r="A2204" i="1"/>
  <c r="B2204" i="1"/>
  <c r="G2204" i="1"/>
  <c r="A2205" i="1"/>
  <c r="B2205" i="1"/>
  <c r="G2205" i="1"/>
  <c r="A2206" i="1"/>
  <c r="B2206" i="1"/>
  <c r="G2206" i="1"/>
  <c r="A2207" i="1"/>
  <c r="B2207" i="1"/>
  <c r="G2207" i="1"/>
  <c r="A2208" i="1"/>
  <c r="B2208" i="1"/>
  <c r="G2208" i="1"/>
  <c r="A2209" i="1"/>
  <c r="B2209" i="1"/>
  <c r="G2209" i="1"/>
  <c r="A2210" i="1"/>
  <c r="B2210" i="1"/>
  <c r="G2210" i="1"/>
  <c r="A2211" i="1"/>
  <c r="B2211" i="1"/>
  <c r="G2211" i="1"/>
  <c r="A2212" i="1"/>
  <c r="B2212" i="1"/>
  <c r="G2212" i="1"/>
  <c r="A2213" i="1"/>
  <c r="B2213" i="1"/>
  <c r="G2213" i="1"/>
  <c r="A2214" i="1"/>
  <c r="B2214" i="1"/>
  <c r="G2214" i="1"/>
  <c r="A2215" i="1"/>
  <c r="B2215" i="1"/>
  <c r="G2215" i="1"/>
  <c r="A2216" i="1"/>
  <c r="B2216" i="1"/>
  <c r="G2216" i="1"/>
  <c r="A2217" i="1"/>
  <c r="B2217" i="1"/>
  <c r="G2217" i="1"/>
  <c r="A2218" i="1"/>
  <c r="B2218" i="1"/>
  <c r="G2218" i="1"/>
  <c r="A2219" i="1"/>
  <c r="B2219" i="1"/>
  <c r="G2219" i="1"/>
  <c r="A2220" i="1"/>
  <c r="B2220" i="1"/>
  <c r="G2220" i="1"/>
  <c r="A2221" i="1"/>
  <c r="B2221" i="1"/>
  <c r="G2221" i="1"/>
  <c r="A2222" i="1"/>
  <c r="B2222" i="1"/>
  <c r="G2222" i="1"/>
  <c r="A2223" i="1"/>
  <c r="B2223" i="1"/>
  <c r="G2223" i="1"/>
  <c r="A2224" i="1"/>
  <c r="B2224" i="1"/>
  <c r="G2224" i="1"/>
  <c r="A2225" i="1"/>
  <c r="B2225" i="1"/>
  <c r="G2225" i="1"/>
  <c r="A2226" i="1"/>
  <c r="B2226" i="1"/>
  <c r="G2226" i="1"/>
  <c r="A2227" i="1"/>
  <c r="B2227" i="1"/>
  <c r="G2227" i="1"/>
  <c r="A2228" i="1"/>
  <c r="B2228" i="1"/>
  <c r="G2228" i="1"/>
  <c r="A2229" i="1"/>
  <c r="B2229" i="1"/>
  <c r="G2229" i="1"/>
  <c r="A2230" i="1"/>
  <c r="B2230" i="1"/>
  <c r="G2230" i="1"/>
  <c r="A2231" i="1"/>
  <c r="B2231" i="1"/>
  <c r="G2231" i="1"/>
  <c r="A2232" i="1"/>
  <c r="B2232" i="1"/>
  <c r="G2232" i="1"/>
  <c r="A2233" i="1"/>
  <c r="B2233" i="1"/>
  <c r="G2233" i="1"/>
  <c r="A2234" i="1"/>
  <c r="B2234" i="1"/>
  <c r="G2234" i="1"/>
  <c r="A2235" i="1"/>
  <c r="B2235" i="1"/>
  <c r="G2235" i="1"/>
  <c r="A2236" i="1"/>
  <c r="B2236" i="1"/>
  <c r="G2236" i="1"/>
  <c r="A2237" i="1"/>
  <c r="B2237" i="1"/>
  <c r="G2237" i="1"/>
  <c r="A2238" i="1"/>
  <c r="B2238" i="1"/>
  <c r="G2238" i="1"/>
  <c r="A2239" i="1"/>
  <c r="B2239" i="1"/>
  <c r="G2239" i="1"/>
  <c r="A2240" i="1"/>
  <c r="B2240" i="1"/>
  <c r="G2240" i="1"/>
  <c r="A2241" i="1"/>
  <c r="B2241" i="1"/>
  <c r="G2241" i="1"/>
  <c r="A2242" i="1"/>
  <c r="B2242" i="1"/>
  <c r="G2242" i="1"/>
  <c r="A2243" i="1"/>
  <c r="B2243" i="1"/>
  <c r="G2243" i="1"/>
  <c r="A2244" i="1"/>
  <c r="B2244" i="1"/>
  <c r="G2244" i="1"/>
  <c r="A2245" i="1"/>
  <c r="B2245" i="1"/>
  <c r="G2245" i="1"/>
  <c r="A2246" i="1"/>
  <c r="B2246" i="1"/>
  <c r="G2246" i="1"/>
  <c r="A2247" i="1"/>
  <c r="B2247" i="1"/>
  <c r="G2247" i="1"/>
  <c r="A2248" i="1"/>
  <c r="B2248" i="1"/>
  <c r="G2248" i="1"/>
  <c r="A2249" i="1"/>
  <c r="B2249" i="1"/>
  <c r="G2249" i="1"/>
  <c r="A2250" i="1"/>
  <c r="B2250" i="1"/>
  <c r="G2250" i="1"/>
  <c r="A2251" i="1"/>
  <c r="B2251" i="1"/>
  <c r="G2251" i="1"/>
  <c r="A2252" i="1"/>
  <c r="B2252" i="1"/>
  <c r="G2252" i="1"/>
  <c r="A2253" i="1"/>
  <c r="B2253" i="1"/>
  <c r="G2253" i="1"/>
  <c r="A2254" i="1"/>
  <c r="B2254" i="1"/>
  <c r="G2254" i="1"/>
  <c r="A2255" i="1"/>
  <c r="B2255" i="1"/>
  <c r="G2255" i="1"/>
  <c r="A2256" i="1"/>
  <c r="B2256" i="1"/>
  <c r="G2256" i="1"/>
  <c r="A2257" i="1"/>
  <c r="B2257" i="1"/>
  <c r="G2257" i="1"/>
  <c r="A2258" i="1"/>
  <c r="B2258" i="1"/>
  <c r="G2258" i="1"/>
  <c r="A2259" i="1"/>
  <c r="B2259" i="1"/>
  <c r="G2259" i="1"/>
  <c r="A2260" i="1"/>
  <c r="B2260" i="1"/>
  <c r="G2260" i="1"/>
  <c r="A2261" i="1"/>
  <c r="B2261" i="1"/>
  <c r="G2261" i="1"/>
  <c r="A2262" i="1"/>
  <c r="B2262" i="1"/>
  <c r="G2262" i="1"/>
  <c r="A2263" i="1"/>
  <c r="B2263" i="1"/>
  <c r="G2263" i="1"/>
  <c r="A2264" i="1"/>
  <c r="B2264" i="1"/>
  <c r="G2264" i="1"/>
  <c r="A2265" i="1"/>
  <c r="B2265" i="1"/>
  <c r="G2265" i="1"/>
  <c r="A2266" i="1"/>
  <c r="B2266" i="1"/>
  <c r="G2266" i="1"/>
  <c r="A2267" i="1"/>
  <c r="B2267" i="1"/>
  <c r="G2267" i="1"/>
  <c r="A2268" i="1"/>
  <c r="B2268" i="1"/>
  <c r="G2268" i="1"/>
  <c r="A2269" i="1"/>
  <c r="B2269" i="1"/>
  <c r="G2269" i="1"/>
  <c r="A2270" i="1"/>
  <c r="B2270" i="1"/>
  <c r="G2270" i="1"/>
  <c r="A2271" i="1"/>
  <c r="B2271" i="1"/>
  <c r="G2271" i="1"/>
  <c r="A2272" i="1"/>
  <c r="B2272" i="1"/>
  <c r="G2272" i="1"/>
  <c r="A2273" i="1"/>
  <c r="B2273" i="1"/>
  <c r="G2273" i="1"/>
  <c r="A2274" i="1"/>
  <c r="B2274" i="1"/>
  <c r="G2274" i="1"/>
  <c r="A2275" i="1"/>
  <c r="B2275" i="1"/>
  <c r="G2275" i="1"/>
  <c r="A2276" i="1"/>
  <c r="B2276" i="1"/>
  <c r="G2276" i="1"/>
  <c r="A2277" i="1"/>
  <c r="B2277" i="1"/>
  <c r="G2277" i="1"/>
  <c r="A2278" i="1"/>
  <c r="B2278" i="1"/>
  <c r="G2278" i="1"/>
  <c r="A2279" i="1"/>
  <c r="B2279" i="1"/>
  <c r="G2279" i="1"/>
  <c r="A2280" i="1"/>
  <c r="B2280" i="1"/>
  <c r="G2280" i="1"/>
  <c r="A2281" i="1"/>
  <c r="B2281" i="1"/>
  <c r="G2281" i="1"/>
  <c r="A2282" i="1"/>
  <c r="B2282" i="1"/>
  <c r="G2282" i="1"/>
  <c r="A2283" i="1"/>
  <c r="B2283" i="1"/>
  <c r="G2283" i="1"/>
  <c r="A2284" i="1"/>
  <c r="B2284" i="1"/>
  <c r="G2284" i="1"/>
  <c r="A2285" i="1"/>
  <c r="B2285" i="1"/>
  <c r="G2285" i="1"/>
  <c r="A2286" i="1"/>
  <c r="B2286" i="1"/>
  <c r="G2286" i="1"/>
  <c r="A2287" i="1"/>
  <c r="B2287" i="1"/>
  <c r="G2287" i="1"/>
  <c r="A2288" i="1"/>
  <c r="B2288" i="1"/>
  <c r="G2288" i="1"/>
  <c r="A2289" i="1"/>
  <c r="B2289" i="1"/>
  <c r="G2289" i="1"/>
  <c r="A2290" i="1"/>
  <c r="B2290" i="1"/>
  <c r="G2290" i="1"/>
  <c r="A2291" i="1"/>
  <c r="B2291" i="1"/>
  <c r="G2291" i="1"/>
  <c r="A2292" i="1"/>
  <c r="B2292" i="1"/>
  <c r="G2292" i="1"/>
  <c r="A2293" i="1"/>
  <c r="B2293" i="1"/>
  <c r="G2293" i="1"/>
  <c r="A2294" i="1"/>
  <c r="B2294" i="1"/>
  <c r="G2294" i="1"/>
  <c r="A2295" i="1"/>
  <c r="B2295" i="1"/>
  <c r="G2295" i="1"/>
  <c r="A2296" i="1"/>
  <c r="B2296" i="1"/>
  <c r="G2296" i="1"/>
  <c r="A2297" i="1"/>
  <c r="B2297" i="1"/>
  <c r="G2297" i="1"/>
  <c r="A2298" i="1"/>
  <c r="B2298" i="1"/>
  <c r="G2298" i="1"/>
  <c r="A2299" i="1"/>
  <c r="B2299" i="1"/>
  <c r="G2299" i="1"/>
  <c r="A2300" i="1"/>
  <c r="B2300" i="1"/>
  <c r="G2300" i="1"/>
  <c r="A2301" i="1"/>
  <c r="B2301" i="1"/>
  <c r="G2301" i="1"/>
  <c r="A2302" i="1"/>
  <c r="B2302" i="1"/>
  <c r="G2302" i="1"/>
  <c r="A2303" i="1"/>
  <c r="B2303" i="1"/>
  <c r="G2303" i="1"/>
  <c r="A2304" i="1"/>
  <c r="B2304" i="1"/>
  <c r="G2304" i="1"/>
  <c r="A2305" i="1"/>
  <c r="B2305" i="1"/>
  <c r="G2305" i="1"/>
  <c r="A2306" i="1"/>
  <c r="B2306" i="1"/>
  <c r="G2306" i="1"/>
  <c r="A2307" i="1"/>
  <c r="B2307" i="1"/>
  <c r="G2307" i="1"/>
  <c r="A2308" i="1"/>
  <c r="B2308" i="1"/>
  <c r="G2308" i="1"/>
  <c r="A2309" i="1"/>
  <c r="B2309" i="1"/>
  <c r="G2309" i="1"/>
  <c r="A2310" i="1"/>
  <c r="B2310" i="1"/>
  <c r="G2310" i="1"/>
  <c r="A2311" i="1"/>
  <c r="B2311" i="1"/>
  <c r="G2311" i="1"/>
  <c r="A2312" i="1"/>
  <c r="B2312" i="1"/>
  <c r="G2312" i="1"/>
  <c r="A2313" i="1"/>
  <c r="B2313" i="1"/>
  <c r="G2313" i="1"/>
  <c r="A2314" i="1"/>
  <c r="B2314" i="1"/>
  <c r="G2314" i="1"/>
  <c r="A2315" i="1"/>
  <c r="B2315" i="1"/>
  <c r="G2315" i="1"/>
  <c r="A2316" i="1"/>
  <c r="B2316" i="1"/>
  <c r="G2316" i="1"/>
  <c r="A2317" i="1"/>
  <c r="B2317" i="1"/>
  <c r="G2317" i="1"/>
  <c r="A2318" i="1"/>
  <c r="B2318" i="1"/>
  <c r="G2318" i="1"/>
  <c r="A2319" i="1"/>
  <c r="B2319" i="1"/>
  <c r="G2319" i="1"/>
  <c r="A2320" i="1"/>
  <c r="B2320" i="1"/>
  <c r="G2320" i="1"/>
  <c r="A2321" i="1"/>
  <c r="B2321" i="1"/>
  <c r="G2321" i="1"/>
  <c r="A2322" i="1"/>
  <c r="B2322" i="1"/>
  <c r="G2322" i="1"/>
  <c r="A2323" i="1"/>
  <c r="B2323" i="1"/>
  <c r="G2323" i="1"/>
  <c r="A2324" i="1"/>
  <c r="B2324" i="1"/>
  <c r="G2324" i="1"/>
  <c r="A2325" i="1"/>
  <c r="B2325" i="1"/>
  <c r="G2325" i="1"/>
  <c r="A2326" i="1"/>
  <c r="B2326" i="1"/>
  <c r="G2326" i="1"/>
  <c r="A2327" i="1"/>
  <c r="B2327" i="1"/>
  <c r="G2327" i="1"/>
  <c r="A2328" i="1"/>
  <c r="B2328" i="1"/>
  <c r="G2328" i="1"/>
  <c r="A2329" i="1"/>
  <c r="B2329" i="1"/>
  <c r="G2329" i="1"/>
  <c r="A2330" i="1"/>
  <c r="B2330" i="1"/>
  <c r="G2330" i="1"/>
  <c r="A2331" i="1"/>
  <c r="B2331" i="1"/>
  <c r="G2331" i="1"/>
  <c r="A2332" i="1"/>
  <c r="B2332" i="1"/>
  <c r="G2332" i="1"/>
  <c r="A2333" i="1"/>
  <c r="B2333" i="1"/>
  <c r="G2333" i="1"/>
  <c r="A2334" i="1"/>
  <c r="B2334" i="1"/>
  <c r="G2334" i="1"/>
  <c r="A2335" i="1"/>
  <c r="B2335" i="1"/>
  <c r="G2335" i="1"/>
  <c r="A2336" i="1"/>
  <c r="B2336" i="1"/>
  <c r="G2336" i="1"/>
  <c r="A2337" i="1"/>
  <c r="B2337" i="1"/>
  <c r="G2337" i="1"/>
  <c r="A2338" i="1"/>
  <c r="B2338" i="1"/>
  <c r="G2338" i="1"/>
  <c r="A2339" i="1"/>
  <c r="B2339" i="1"/>
  <c r="G2339" i="1"/>
  <c r="A2340" i="1"/>
  <c r="B2340" i="1"/>
  <c r="G2340" i="1"/>
  <c r="A2341" i="1"/>
  <c r="B2341" i="1"/>
  <c r="G2341" i="1"/>
  <c r="A2342" i="1"/>
  <c r="B2342" i="1"/>
  <c r="G2342" i="1"/>
  <c r="A2343" i="1"/>
  <c r="B2343" i="1"/>
  <c r="G2343" i="1"/>
  <c r="A2344" i="1"/>
  <c r="B2344" i="1"/>
  <c r="G2344" i="1"/>
  <c r="A2345" i="1"/>
  <c r="B2345" i="1"/>
  <c r="G2345" i="1"/>
  <c r="A2346" i="1"/>
  <c r="B2346" i="1"/>
  <c r="G2346" i="1"/>
  <c r="A2347" i="1"/>
  <c r="B2347" i="1"/>
  <c r="G2347" i="1"/>
  <c r="A2348" i="1"/>
  <c r="B2348" i="1"/>
  <c r="G2348" i="1"/>
  <c r="A2349" i="1"/>
  <c r="B2349" i="1"/>
  <c r="G2349" i="1"/>
  <c r="A2350" i="1"/>
  <c r="B2350" i="1"/>
  <c r="G2350" i="1"/>
  <c r="A2351" i="1"/>
  <c r="B2351" i="1"/>
  <c r="G2351" i="1"/>
  <c r="A2352" i="1"/>
  <c r="B2352" i="1"/>
  <c r="G2352" i="1"/>
  <c r="A2353" i="1"/>
  <c r="B2353" i="1"/>
  <c r="G2353" i="1"/>
  <c r="A2354" i="1"/>
  <c r="B2354" i="1"/>
  <c r="G2354" i="1"/>
  <c r="A2355" i="1"/>
  <c r="B2355" i="1"/>
  <c r="G2355" i="1"/>
  <c r="A2356" i="1"/>
  <c r="B2356" i="1"/>
  <c r="G2356" i="1"/>
  <c r="A2357" i="1"/>
  <c r="B2357" i="1"/>
  <c r="G2357" i="1"/>
  <c r="A2358" i="1"/>
  <c r="B2358" i="1"/>
  <c r="G2358" i="1"/>
  <c r="A2359" i="1"/>
  <c r="B2359" i="1"/>
  <c r="G2359" i="1"/>
  <c r="A2360" i="1"/>
  <c r="B2360" i="1"/>
  <c r="G2360" i="1"/>
  <c r="A2361" i="1"/>
  <c r="B2361" i="1"/>
  <c r="G2361" i="1"/>
  <c r="A2362" i="1"/>
  <c r="B2362" i="1"/>
  <c r="G2362" i="1"/>
  <c r="A2363" i="1"/>
  <c r="B2363" i="1"/>
  <c r="G2363" i="1"/>
  <c r="A2364" i="1"/>
  <c r="B2364" i="1"/>
  <c r="G2364" i="1"/>
  <c r="A2365" i="1"/>
  <c r="B2365" i="1"/>
  <c r="G2365" i="1"/>
  <c r="A2366" i="1"/>
  <c r="B2366" i="1"/>
  <c r="G2366" i="1"/>
  <c r="A2367" i="1"/>
  <c r="B2367" i="1"/>
  <c r="G2367" i="1"/>
  <c r="A2368" i="1"/>
  <c r="B2368" i="1"/>
  <c r="G2368" i="1"/>
  <c r="A2369" i="1"/>
  <c r="B2369" i="1"/>
  <c r="G2369" i="1"/>
  <c r="A2370" i="1"/>
  <c r="B2370" i="1"/>
  <c r="G2370" i="1"/>
  <c r="A2371" i="1"/>
  <c r="B2371" i="1"/>
  <c r="G2371" i="1"/>
  <c r="A2372" i="1"/>
  <c r="B2372" i="1"/>
  <c r="G2372" i="1"/>
  <c r="A2373" i="1"/>
  <c r="B2373" i="1"/>
  <c r="G2373" i="1"/>
  <c r="A2374" i="1"/>
  <c r="B2374" i="1"/>
  <c r="G2374" i="1"/>
  <c r="A2375" i="1"/>
  <c r="B2375" i="1"/>
  <c r="G2375" i="1"/>
  <c r="A2376" i="1"/>
  <c r="B2376" i="1"/>
  <c r="G2376" i="1"/>
  <c r="A2377" i="1"/>
  <c r="B2377" i="1"/>
  <c r="G2377" i="1"/>
  <c r="A2378" i="1"/>
  <c r="B2378" i="1"/>
  <c r="G2378" i="1"/>
  <c r="A2379" i="1"/>
  <c r="B2379" i="1"/>
  <c r="G2379" i="1"/>
  <c r="A2380" i="1"/>
  <c r="B2380" i="1"/>
  <c r="G2380" i="1"/>
  <c r="A2381" i="1"/>
  <c r="B2381" i="1"/>
  <c r="G2381" i="1"/>
  <c r="A2382" i="1"/>
  <c r="B2382" i="1"/>
  <c r="G2382" i="1"/>
  <c r="A2383" i="1"/>
  <c r="B2383" i="1"/>
  <c r="G2383" i="1"/>
  <c r="A2384" i="1"/>
  <c r="B2384" i="1"/>
  <c r="G2384" i="1"/>
  <c r="A2385" i="1"/>
  <c r="B2385" i="1"/>
  <c r="G2385" i="1"/>
  <c r="A2386" i="1"/>
  <c r="B2386" i="1"/>
  <c r="G2386" i="1"/>
  <c r="A2387" i="1"/>
  <c r="B2387" i="1"/>
  <c r="G2387" i="1"/>
  <c r="A2388" i="1"/>
  <c r="B2388" i="1"/>
  <c r="G2388" i="1"/>
  <c r="A2389" i="1"/>
  <c r="B2389" i="1"/>
  <c r="G2389" i="1"/>
  <c r="A2390" i="1"/>
  <c r="B2390" i="1"/>
  <c r="G2390" i="1"/>
  <c r="A2391" i="1"/>
  <c r="B2391" i="1"/>
  <c r="G2391" i="1"/>
  <c r="A2392" i="1"/>
  <c r="B2392" i="1"/>
  <c r="G2392" i="1"/>
  <c r="A2393" i="1"/>
  <c r="B2393" i="1"/>
  <c r="G2393" i="1"/>
  <c r="A2394" i="1"/>
  <c r="B2394" i="1"/>
  <c r="G2394" i="1"/>
  <c r="A2395" i="1"/>
  <c r="B2395" i="1"/>
  <c r="G2395" i="1"/>
  <c r="A2396" i="1"/>
  <c r="B2396" i="1"/>
  <c r="G2396" i="1"/>
  <c r="A2397" i="1"/>
  <c r="B2397" i="1"/>
  <c r="G2397" i="1"/>
  <c r="A2398" i="1"/>
  <c r="B2398" i="1"/>
  <c r="G2398" i="1"/>
  <c r="A2399" i="1"/>
  <c r="B2399" i="1"/>
  <c r="G2399" i="1"/>
  <c r="A2400" i="1"/>
  <c r="B2400" i="1"/>
  <c r="G2400" i="1"/>
  <c r="A2401" i="1"/>
  <c r="B2401" i="1"/>
  <c r="G2401" i="1"/>
  <c r="A2402" i="1"/>
  <c r="B2402" i="1"/>
  <c r="G2402" i="1"/>
  <c r="A2403" i="1"/>
  <c r="B2403" i="1"/>
  <c r="G2403" i="1"/>
  <c r="A2404" i="1"/>
  <c r="B2404" i="1"/>
  <c r="G2404" i="1"/>
  <c r="A2405" i="1"/>
  <c r="B2405" i="1"/>
  <c r="G2405" i="1"/>
  <c r="A2406" i="1"/>
  <c r="B2406" i="1"/>
  <c r="G2406" i="1"/>
  <c r="A2407" i="1"/>
  <c r="B2407" i="1"/>
  <c r="G2407" i="1"/>
  <c r="A2408" i="1"/>
  <c r="B2408" i="1"/>
  <c r="G2408" i="1"/>
  <c r="A2409" i="1"/>
  <c r="B2409" i="1"/>
  <c r="G2409" i="1"/>
  <c r="A2410" i="1"/>
  <c r="B2410" i="1"/>
  <c r="G2410" i="1"/>
  <c r="A2411" i="1"/>
  <c r="B2411" i="1"/>
  <c r="G2411" i="1"/>
  <c r="A2412" i="1"/>
  <c r="B2412" i="1"/>
  <c r="G2412" i="1"/>
  <c r="A2413" i="1"/>
  <c r="B2413" i="1"/>
  <c r="G2413" i="1"/>
  <c r="A2414" i="1"/>
  <c r="B2414" i="1"/>
  <c r="G2414" i="1"/>
  <c r="A2415" i="1"/>
  <c r="B2415" i="1"/>
  <c r="G2415" i="1"/>
  <c r="A2416" i="1"/>
  <c r="B2416" i="1"/>
  <c r="G2416" i="1"/>
  <c r="A2417" i="1"/>
  <c r="B2417" i="1"/>
  <c r="G2417" i="1"/>
  <c r="A2418" i="1"/>
  <c r="B2418" i="1"/>
  <c r="G2418" i="1"/>
  <c r="A2419" i="1"/>
  <c r="B2419" i="1"/>
  <c r="G2419" i="1"/>
  <c r="A2420" i="1"/>
  <c r="B2420" i="1"/>
  <c r="G2420" i="1"/>
  <c r="A2421" i="1"/>
  <c r="B2421" i="1"/>
  <c r="G2421" i="1"/>
  <c r="A2422" i="1"/>
  <c r="B2422" i="1"/>
  <c r="G2422" i="1"/>
  <c r="A2423" i="1"/>
  <c r="B2423" i="1"/>
  <c r="G2423" i="1"/>
  <c r="A2424" i="1"/>
  <c r="B2424" i="1"/>
  <c r="G2424" i="1"/>
  <c r="A2425" i="1"/>
  <c r="B2425" i="1"/>
  <c r="G2425" i="1"/>
  <c r="A2426" i="1"/>
  <c r="B2426" i="1"/>
  <c r="G2426" i="1"/>
  <c r="A2427" i="1"/>
  <c r="B2427" i="1"/>
  <c r="G2427" i="1"/>
  <c r="A2428" i="1"/>
  <c r="B2428" i="1"/>
  <c r="G2428" i="1"/>
  <c r="A2429" i="1"/>
  <c r="B2429" i="1"/>
  <c r="G2429" i="1"/>
  <c r="A2430" i="1"/>
  <c r="B2430" i="1"/>
  <c r="G2430" i="1"/>
  <c r="A2431" i="1"/>
  <c r="B2431" i="1"/>
  <c r="G2431" i="1"/>
  <c r="A2432" i="1"/>
  <c r="B2432" i="1"/>
  <c r="G2432" i="1"/>
  <c r="A2433" i="1"/>
  <c r="B2433" i="1"/>
  <c r="G2433" i="1"/>
  <c r="A2434" i="1"/>
  <c r="B2434" i="1"/>
  <c r="G2434" i="1"/>
  <c r="A2435" i="1"/>
  <c r="B2435" i="1"/>
  <c r="G2435" i="1"/>
  <c r="A2436" i="1"/>
  <c r="B2436" i="1"/>
  <c r="G2436" i="1"/>
  <c r="A2437" i="1"/>
  <c r="B2437" i="1"/>
  <c r="G2437" i="1"/>
  <c r="A2438" i="1"/>
  <c r="B2438" i="1"/>
  <c r="G2438" i="1"/>
  <c r="A2439" i="1"/>
  <c r="B2439" i="1"/>
  <c r="G2439" i="1"/>
  <c r="A2440" i="1"/>
  <c r="B2440" i="1"/>
  <c r="G2440" i="1"/>
  <c r="A2441" i="1"/>
  <c r="B2441" i="1"/>
  <c r="G2441" i="1"/>
  <c r="A2442" i="1"/>
  <c r="B2442" i="1"/>
  <c r="G2442" i="1"/>
  <c r="A2443" i="1"/>
  <c r="B2443" i="1"/>
  <c r="G2443" i="1"/>
  <c r="A2444" i="1"/>
  <c r="B2444" i="1"/>
  <c r="G2444" i="1"/>
  <c r="A2445" i="1"/>
  <c r="B2445" i="1"/>
  <c r="G2445" i="1"/>
  <c r="A2446" i="1"/>
  <c r="B2446" i="1"/>
  <c r="G2446" i="1"/>
  <c r="A2447" i="1"/>
  <c r="B2447" i="1"/>
  <c r="G2447" i="1"/>
  <c r="A2448" i="1"/>
  <c r="B2448" i="1"/>
  <c r="G2448" i="1"/>
  <c r="A2449" i="1"/>
  <c r="B2449" i="1"/>
  <c r="G2449" i="1"/>
  <c r="A2450" i="1"/>
  <c r="B2450" i="1"/>
  <c r="G2450" i="1"/>
  <c r="A2451" i="1"/>
  <c r="B2451" i="1"/>
  <c r="G2451" i="1"/>
  <c r="A2452" i="1"/>
  <c r="B2452" i="1"/>
  <c r="G2452" i="1"/>
  <c r="A2453" i="1"/>
  <c r="B2453" i="1"/>
  <c r="G2453" i="1"/>
  <c r="A2454" i="1"/>
  <c r="B2454" i="1"/>
  <c r="G2454" i="1"/>
  <c r="A2455" i="1"/>
  <c r="B2455" i="1"/>
  <c r="G2455" i="1"/>
  <c r="A2456" i="1"/>
  <c r="B2456" i="1"/>
  <c r="G2456" i="1"/>
  <c r="A2457" i="1"/>
  <c r="B2457" i="1"/>
  <c r="G2457" i="1"/>
  <c r="A2458" i="1"/>
  <c r="B2458" i="1"/>
  <c r="G2458" i="1"/>
  <c r="A2459" i="1"/>
  <c r="B2459" i="1"/>
  <c r="G2459" i="1"/>
  <c r="A2460" i="1"/>
  <c r="B2460" i="1"/>
  <c r="G2460" i="1"/>
  <c r="A2461" i="1"/>
  <c r="B2461" i="1"/>
  <c r="G2461" i="1"/>
  <c r="A2462" i="1"/>
  <c r="B2462" i="1"/>
  <c r="G2462" i="1"/>
  <c r="A2463" i="1"/>
  <c r="B2463" i="1"/>
  <c r="G2463" i="1"/>
  <c r="A2464" i="1"/>
  <c r="B2464" i="1"/>
  <c r="G2464" i="1"/>
  <c r="A2465" i="1"/>
  <c r="B2465" i="1"/>
  <c r="G2465" i="1"/>
  <c r="A2466" i="1"/>
  <c r="B2466" i="1"/>
  <c r="G2466" i="1"/>
  <c r="A2467" i="1"/>
  <c r="B2467" i="1"/>
  <c r="G2467" i="1"/>
  <c r="A2468" i="1"/>
  <c r="B2468" i="1"/>
  <c r="G2468" i="1"/>
  <c r="A2469" i="1"/>
  <c r="B2469" i="1"/>
  <c r="G2469" i="1"/>
  <c r="A2470" i="1"/>
  <c r="B2470" i="1"/>
  <c r="G2470" i="1"/>
  <c r="A2471" i="1"/>
  <c r="B2471" i="1"/>
  <c r="G2471" i="1"/>
  <c r="A2472" i="1"/>
  <c r="B2472" i="1"/>
  <c r="G2472" i="1"/>
  <c r="A2473" i="1"/>
  <c r="B2473" i="1"/>
  <c r="G2473" i="1"/>
  <c r="A2474" i="1"/>
  <c r="B2474" i="1"/>
  <c r="G2474" i="1"/>
  <c r="A2475" i="1"/>
  <c r="B2475" i="1"/>
  <c r="G2475" i="1"/>
  <c r="A2476" i="1"/>
  <c r="B2476" i="1"/>
  <c r="G2476" i="1"/>
  <c r="A2477" i="1"/>
  <c r="B2477" i="1"/>
  <c r="G2477" i="1"/>
  <c r="A2478" i="1"/>
  <c r="B2478" i="1"/>
  <c r="G2478" i="1"/>
  <c r="A2479" i="1"/>
  <c r="B2479" i="1"/>
  <c r="G2479" i="1"/>
  <c r="A2480" i="1"/>
  <c r="B2480" i="1"/>
  <c r="G2480" i="1"/>
  <c r="A2481" i="1"/>
  <c r="B2481" i="1"/>
  <c r="G2481" i="1"/>
  <c r="A2482" i="1"/>
  <c r="B2482" i="1"/>
  <c r="G2482" i="1"/>
  <c r="A2483" i="1"/>
  <c r="B2483" i="1"/>
  <c r="G2483" i="1"/>
  <c r="A2484" i="1"/>
  <c r="B2484" i="1"/>
  <c r="G2484" i="1"/>
  <c r="A2485" i="1"/>
  <c r="B2485" i="1"/>
  <c r="G2485" i="1"/>
  <c r="A2486" i="1"/>
  <c r="B2486" i="1"/>
  <c r="G2486" i="1"/>
  <c r="A2487" i="1"/>
  <c r="B2487" i="1"/>
  <c r="G2487" i="1"/>
  <c r="A2488" i="1"/>
  <c r="B2488" i="1"/>
  <c r="G2488" i="1"/>
  <c r="A2489" i="1"/>
  <c r="B2489" i="1"/>
  <c r="G2489" i="1"/>
  <c r="A2490" i="1"/>
  <c r="B2490" i="1"/>
  <c r="G2490" i="1"/>
  <c r="A2491" i="1"/>
  <c r="B2491" i="1"/>
  <c r="G2491" i="1"/>
  <c r="A2492" i="1"/>
  <c r="B2492" i="1"/>
  <c r="G2492" i="1"/>
  <c r="A2493" i="1"/>
  <c r="B2493" i="1"/>
  <c r="G2493" i="1"/>
  <c r="A2494" i="1"/>
  <c r="B2494" i="1"/>
  <c r="G2494" i="1"/>
  <c r="A2495" i="1"/>
  <c r="B2495" i="1"/>
  <c r="G2495" i="1"/>
  <c r="A2496" i="1"/>
  <c r="B2496" i="1"/>
  <c r="G2496" i="1"/>
  <c r="A2497" i="1"/>
  <c r="B2497" i="1"/>
  <c r="G2497" i="1"/>
  <c r="A2498" i="1"/>
  <c r="B2498" i="1"/>
  <c r="G2498" i="1"/>
  <c r="A2499" i="1"/>
  <c r="B2499" i="1"/>
  <c r="G2499" i="1"/>
  <c r="A2500" i="1"/>
  <c r="B2500" i="1"/>
  <c r="G2500" i="1"/>
  <c r="A2501" i="1"/>
  <c r="B2501" i="1"/>
  <c r="G2501" i="1"/>
  <c r="A2502" i="1"/>
  <c r="B2502" i="1"/>
  <c r="G2502" i="1"/>
  <c r="A2503" i="1"/>
  <c r="B2503" i="1"/>
  <c r="G2503" i="1"/>
  <c r="A2504" i="1"/>
  <c r="B2504" i="1"/>
  <c r="G2504" i="1"/>
  <c r="A2505" i="1"/>
  <c r="B2505" i="1"/>
  <c r="G2505" i="1"/>
  <c r="A2506" i="1"/>
  <c r="B2506" i="1"/>
  <c r="G2506" i="1"/>
  <c r="A2507" i="1"/>
  <c r="B2507" i="1"/>
  <c r="G2507" i="1"/>
  <c r="A2508" i="1"/>
  <c r="B2508" i="1"/>
  <c r="G2508" i="1"/>
  <c r="A2509" i="1"/>
  <c r="B2509" i="1"/>
  <c r="G2509" i="1"/>
  <c r="A2510" i="1"/>
  <c r="B2510" i="1"/>
  <c r="G2510" i="1"/>
  <c r="A2511" i="1"/>
  <c r="B2511" i="1"/>
  <c r="G2511" i="1"/>
  <c r="A2512" i="1"/>
  <c r="B2512" i="1"/>
  <c r="G2512" i="1"/>
  <c r="A2513" i="1"/>
  <c r="B2513" i="1"/>
  <c r="G2513" i="1"/>
  <c r="A2514" i="1"/>
  <c r="B2514" i="1"/>
  <c r="G2514" i="1"/>
  <c r="A2515" i="1"/>
  <c r="B2515" i="1"/>
  <c r="G2515" i="1"/>
  <c r="A2516" i="1"/>
  <c r="B2516" i="1"/>
  <c r="G2516" i="1"/>
  <c r="A2517" i="1"/>
  <c r="B2517" i="1"/>
  <c r="G2517" i="1"/>
  <c r="A2518" i="1"/>
  <c r="B2518" i="1"/>
  <c r="G2518" i="1"/>
  <c r="A2519" i="1"/>
  <c r="B2519" i="1"/>
  <c r="G2519" i="1"/>
  <c r="A2520" i="1"/>
  <c r="B2520" i="1"/>
  <c r="G2520" i="1"/>
  <c r="A2521" i="1"/>
  <c r="B2521" i="1"/>
  <c r="G2521" i="1"/>
  <c r="A2522" i="1"/>
  <c r="B2522" i="1"/>
  <c r="G2522" i="1"/>
  <c r="A2523" i="1"/>
  <c r="B2523" i="1"/>
  <c r="G2523" i="1"/>
  <c r="A2524" i="1"/>
  <c r="B2524" i="1"/>
  <c r="G2524" i="1"/>
  <c r="A2525" i="1"/>
  <c r="B2525" i="1"/>
  <c r="G2525" i="1"/>
  <c r="A2526" i="1"/>
  <c r="B2526" i="1"/>
  <c r="G2526" i="1"/>
  <c r="A2527" i="1"/>
  <c r="B2527" i="1"/>
  <c r="G2527" i="1"/>
  <c r="A2528" i="1"/>
  <c r="B2528" i="1"/>
  <c r="G2528" i="1"/>
  <c r="A2529" i="1"/>
  <c r="B2529" i="1"/>
  <c r="G2529" i="1"/>
  <c r="A2530" i="1"/>
  <c r="B2530" i="1"/>
  <c r="G2530" i="1"/>
  <c r="A2531" i="1"/>
  <c r="B2531" i="1"/>
  <c r="G2531" i="1"/>
  <c r="A2532" i="1"/>
  <c r="B2532" i="1"/>
  <c r="G2532" i="1"/>
  <c r="A2533" i="1"/>
  <c r="B2533" i="1"/>
  <c r="G2533" i="1"/>
  <c r="A2534" i="1"/>
  <c r="B2534" i="1"/>
  <c r="G2534" i="1"/>
  <c r="A2535" i="1"/>
  <c r="B2535" i="1"/>
  <c r="G2535" i="1"/>
  <c r="A2536" i="1"/>
  <c r="B2536" i="1"/>
  <c r="G2536" i="1"/>
  <c r="A2537" i="1"/>
  <c r="B2537" i="1"/>
  <c r="G2537" i="1"/>
  <c r="A2538" i="1"/>
  <c r="B2538" i="1"/>
  <c r="G2538" i="1"/>
  <c r="A2539" i="1"/>
  <c r="B2539" i="1"/>
  <c r="G2539" i="1"/>
  <c r="A2540" i="1"/>
  <c r="B2540" i="1"/>
  <c r="G2540" i="1"/>
  <c r="A2541" i="1"/>
  <c r="B2541" i="1"/>
  <c r="G2541" i="1"/>
  <c r="A2542" i="1"/>
  <c r="B2542" i="1"/>
  <c r="G2542" i="1"/>
  <c r="A2543" i="1"/>
  <c r="B2543" i="1"/>
  <c r="G2543" i="1"/>
  <c r="A2544" i="1"/>
  <c r="B2544" i="1"/>
  <c r="G2544" i="1"/>
  <c r="A2545" i="1"/>
  <c r="B2545" i="1"/>
  <c r="G2545" i="1"/>
  <c r="A2546" i="1"/>
  <c r="B2546" i="1"/>
  <c r="G2546" i="1"/>
  <c r="A2547" i="1"/>
  <c r="B2547" i="1"/>
  <c r="G2547" i="1"/>
  <c r="A2548" i="1"/>
  <c r="B2548" i="1"/>
  <c r="G2548" i="1"/>
  <c r="A2549" i="1"/>
  <c r="B2549" i="1"/>
  <c r="G2549" i="1"/>
  <c r="A2550" i="1"/>
  <c r="B2550" i="1"/>
  <c r="G2550" i="1"/>
  <c r="A2551" i="1"/>
  <c r="B2551" i="1"/>
  <c r="G2551" i="1"/>
  <c r="A2552" i="1"/>
  <c r="B2552" i="1"/>
  <c r="G2552" i="1"/>
  <c r="A2553" i="1"/>
  <c r="B2553" i="1"/>
  <c r="G2553" i="1"/>
  <c r="A2554" i="1"/>
  <c r="B2554" i="1"/>
  <c r="G2554" i="1"/>
  <c r="A2555" i="1"/>
  <c r="B2555" i="1"/>
  <c r="G2555" i="1"/>
  <c r="A2556" i="1"/>
  <c r="B2556" i="1"/>
  <c r="G2556" i="1"/>
  <c r="A2557" i="1"/>
  <c r="B2557" i="1"/>
  <c r="G2557" i="1"/>
  <c r="A2558" i="1"/>
  <c r="B2558" i="1"/>
  <c r="G2558" i="1"/>
  <c r="A2559" i="1"/>
  <c r="B2559" i="1"/>
  <c r="G2559" i="1"/>
  <c r="A2560" i="1"/>
  <c r="B2560" i="1"/>
  <c r="G2560" i="1"/>
  <c r="A2561" i="1"/>
  <c r="B2561" i="1"/>
  <c r="G2561" i="1"/>
  <c r="A2562" i="1"/>
  <c r="B2562" i="1"/>
  <c r="G2562" i="1"/>
  <c r="A2563" i="1"/>
  <c r="B2563" i="1"/>
  <c r="G2563" i="1"/>
  <c r="A2564" i="1"/>
  <c r="B2564" i="1"/>
  <c r="G2564" i="1"/>
  <c r="A2565" i="1"/>
  <c r="B2565" i="1"/>
  <c r="G2565" i="1"/>
  <c r="A2566" i="1"/>
  <c r="B2566" i="1"/>
  <c r="G2566" i="1"/>
  <c r="A2567" i="1"/>
  <c r="B2567" i="1"/>
  <c r="G2567" i="1"/>
  <c r="A2568" i="1"/>
  <c r="B2568" i="1"/>
  <c r="G2568" i="1"/>
  <c r="A2569" i="1"/>
  <c r="B2569" i="1"/>
  <c r="G2569" i="1"/>
  <c r="A2570" i="1"/>
  <c r="B2570" i="1"/>
  <c r="G2570" i="1"/>
  <c r="A2571" i="1"/>
  <c r="B2571" i="1"/>
  <c r="G2571" i="1"/>
  <c r="A2572" i="1"/>
  <c r="B2572" i="1"/>
  <c r="G2572" i="1"/>
  <c r="A2573" i="1"/>
  <c r="B2573" i="1"/>
  <c r="G2573" i="1"/>
  <c r="A2574" i="1"/>
  <c r="B2574" i="1"/>
  <c r="G2574" i="1"/>
  <c r="A2575" i="1"/>
  <c r="B2575" i="1"/>
  <c r="G2575" i="1"/>
  <c r="A2576" i="1"/>
  <c r="B2576" i="1"/>
  <c r="G2576" i="1"/>
  <c r="A2577" i="1"/>
  <c r="B2577" i="1"/>
  <c r="G2577" i="1"/>
  <c r="A2578" i="1"/>
  <c r="B2578" i="1"/>
  <c r="G2578" i="1"/>
  <c r="A2579" i="1"/>
  <c r="B2579" i="1"/>
  <c r="G2579" i="1"/>
  <c r="A2580" i="1"/>
  <c r="B2580" i="1"/>
  <c r="G2580" i="1"/>
  <c r="A2581" i="1"/>
  <c r="B2581" i="1"/>
  <c r="G2581" i="1"/>
  <c r="A2582" i="1"/>
  <c r="B2582" i="1"/>
  <c r="G2582" i="1"/>
  <c r="A2583" i="1"/>
  <c r="B2583" i="1"/>
  <c r="G2583" i="1"/>
  <c r="A2584" i="1"/>
  <c r="B2584" i="1"/>
  <c r="G2584" i="1"/>
  <c r="A2585" i="1"/>
  <c r="B2585" i="1"/>
  <c r="G2585" i="1"/>
  <c r="A2586" i="1"/>
  <c r="B2586" i="1"/>
  <c r="G2586" i="1"/>
  <c r="A2587" i="1"/>
  <c r="B2587" i="1"/>
  <c r="G2587" i="1"/>
  <c r="A2588" i="1"/>
  <c r="B2588" i="1"/>
  <c r="G2588" i="1"/>
  <c r="A2589" i="1"/>
  <c r="B2589" i="1"/>
  <c r="G2589" i="1"/>
  <c r="A2590" i="1"/>
  <c r="B2590" i="1"/>
  <c r="G2590" i="1"/>
  <c r="A2591" i="1"/>
  <c r="B2591" i="1"/>
  <c r="G2591" i="1"/>
  <c r="A2592" i="1"/>
  <c r="B2592" i="1"/>
  <c r="G2592" i="1"/>
  <c r="A2593" i="1"/>
  <c r="B2593" i="1"/>
  <c r="G2593" i="1"/>
  <c r="A2594" i="1"/>
  <c r="B2594" i="1"/>
  <c r="G2594" i="1"/>
  <c r="A2595" i="1"/>
  <c r="B2595" i="1"/>
  <c r="G2595" i="1"/>
  <c r="A2596" i="1"/>
  <c r="B2596" i="1"/>
  <c r="G2596" i="1"/>
  <c r="A2597" i="1"/>
  <c r="B2597" i="1"/>
  <c r="G2597" i="1"/>
  <c r="A2598" i="1"/>
  <c r="B2598" i="1"/>
  <c r="G2598" i="1"/>
  <c r="A2599" i="1"/>
  <c r="B2599" i="1"/>
  <c r="G2599" i="1"/>
  <c r="A2600" i="1"/>
  <c r="B2600" i="1"/>
  <c r="G2600" i="1"/>
  <c r="A2601" i="1"/>
  <c r="B2601" i="1"/>
  <c r="G2601" i="1"/>
  <c r="A2602" i="1"/>
  <c r="B2602" i="1"/>
  <c r="G2602" i="1"/>
  <c r="A2603" i="1"/>
  <c r="B2603" i="1"/>
  <c r="G2603" i="1"/>
  <c r="A2604" i="1"/>
  <c r="B2604" i="1"/>
  <c r="G2604" i="1"/>
  <c r="A2605" i="1"/>
  <c r="B2605" i="1"/>
  <c r="G2605" i="1"/>
  <c r="A2606" i="1"/>
  <c r="B2606" i="1"/>
  <c r="G2606" i="1"/>
  <c r="A2607" i="1"/>
  <c r="B2607" i="1"/>
  <c r="G2607" i="1"/>
  <c r="A2608" i="1"/>
  <c r="B2608" i="1"/>
  <c r="G2608" i="1"/>
  <c r="A2609" i="1"/>
  <c r="B2609" i="1"/>
  <c r="G2609" i="1"/>
  <c r="A2610" i="1"/>
  <c r="B2610" i="1"/>
  <c r="G2610" i="1"/>
  <c r="A2611" i="1"/>
  <c r="B2611" i="1"/>
  <c r="G2611" i="1"/>
  <c r="A2612" i="1"/>
  <c r="B2612" i="1"/>
  <c r="G2612" i="1"/>
  <c r="A2613" i="1"/>
  <c r="B2613" i="1"/>
  <c r="G2613" i="1"/>
  <c r="A2614" i="1"/>
  <c r="B2614" i="1"/>
  <c r="G2614" i="1"/>
  <c r="A2615" i="1"/>
  <c r="B2615" i="1"/>
  <c r="G2615" i="1"/>
  <c r="A2616" i="1"/>
  <c r="B2616" i="1"/>
  <c r="G2616" i="1"/>
  <c r="A2617" i="1"/>
  <c r="B2617" i="1"/>
  <c r="G2617" i="1"/>
  <c r="A2618" i="1"/>
  <c r="B2618" i="1"/>
  <c r="G2618" i="1"/>
  <c r="A2619" i="1"/>
  <c r="B2619" i="1"/>
  <c r="G2619" i="1"/>
  <c r="A2620" i="1"/>
  <c r="B2620" i="1"/>
  <c r="G2620" i="1"/>
  <c r="A2621" i="1"/>
  <c r="B2621" i="1"/>
  <c r="G2621" i="1"/>
  <c r="A2622" i="1"/>
  <c r="B2622" i="1"/>
  <c r="G2622" i="1"/>
  <c r="A2623" i="1"/>
  <c r="B2623" i="1"/>
  <c r="G2623" i="1"/>
  <c r="A2624" i="1"/>
  <c r="B2624" i="1"/>
  <c r="G2624" i="1"/>
  <c r="A2625" i="1"/>
  <c r="B2625" i="1"/>
  <c r="G2625" i="1"/>
  <c r="A2626" i="1"/>
  <c r="B2626" i="1"/>
  <c r="G2626" i="1"/>
</calcChain>
</file>

<file path=xl/sharedStrings.xml><?xml version="1.0" encoding="utf-8"?>
<sst xmlns="http://schemas.openxmlformats.org/spreadsheetml/2006/main" count="10523" uniqueCount="1783">
  <si>
    <t xml:space="preserve"> </t>
  </si>
  <si>
    <t xml:space="preserve">ASC PAYMENT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</si>
  <si>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</si>
  <si>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</si>
  <si>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</si>
  <si>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</si>
  <si>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</si>
  <si>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</si>
  <si>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</si>
  <si>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 xml:space="preserve">   GROUP</t>
  </si>
  <si>
    <t xml:space="preserve">ALLOWABLE </t>
  </si>
  <si>
    <t xml:space="preserve">ENDOSCOPIC SUBMUCOSALDISSECTION(ESD),INCLUDING ENDOSCOPY OR COLONOSCOPY,MU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</si>
  <si>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</si>
  <si>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COLORECTAL SCRN; HI RISK IND                                                                                                                    </t>
  </si>
  <si>
    <t xml:space="preserve">COLON CA SCRN NOT HI RSK IND                                                                                                                    </t>
  </si>
  <si>
    <t xml:space="preserve">PROCESSING, PRESERVING AND TRANSPORTING CORNEAL TISSUE                                                                                          </t>
  </si>
  <si>
    <t xml:space="preserve">         </t>
  </si>
  <si>
    <t xml:space="preserve">REMOVE FOREIGN BODY                                                                                                                             </t>
  </si>
  <si>
    <t xml:space="preserve">COMPLEX DRAINAGE, WOUND                                                                                                                         </t>
  </si>
  <si>
    <t xml:space="preserve">DEBRIDE SKIN, FX                                                                                                                                </t>
  </si>
  <si>
    <t xml:space="preserve">DEBRIDE SKIN/MUSCLE, FX                                                                                                                         </t>
  </si>
  <si>
    <t xml:space="preserve">DEBRIDE SKIN/MUSCLE/BONE, FX                                                                                                                    </t>
  </si>
  <si>
    <t xml:space="preserve">DEBRIDE SKIN/TISSUE                                                                                                                             </t>
  </si>
  <si>
    <t xml:space="preserve">DEBRIDE TISSUE/MUSCLE                                                                                                                           </t>
  </si>
  <si>
    <t xml:space="preserve">DEBRIDE TISSUE/MUSCLE/BONE                                                                                                                      </t>
  </si>
  <si>
    <t xml:space="preserve">DEBRIDEMENT, BONE, (INCLUDES EPIDERMIS, DERMIS, SQ TISSUE, MUSLCE AND/OR FASCIA, IF PERFORMED; EACH ADDITIONAL 20 SQ CM, OR PART                </t>
  </si>
  <si>
    <t xml:space="preserve">EXCISE BENIGN LESION, INCLUDING MARGINS, EXCEPT SKIN TAG (UNLISTED ELSEWHERE)M TRUNK, ARMS OR LEGS; EXCISED DIAMETER 0.6 TO 1.0 CM              </t>
  </si>
  <si>
    <t xml:space="preserve">EXCISION, BENIGN LESION INCLUDING MARGINS, EXCEPT SKIN TAG (UNLESS LISTED ELSEWHERE), TRUNK, ARMS OR LEGS; EXCISED DIAMETER 1.1 TO 2.0CM        </t>
  </si>
  <si>
    <t xml:space="preserve">EXCISION, BENIGN LESION INCLUDING MARGINS, EXCEPT SKIN TAG (UNLESS LISTED ELSEWHERE), TRUNK, ARMS OR LEGS; EXCISED DIAMETER 2.1 TO 3.0CM        </t>
  </si>
  <si>
    <t xml:space="preserve">EXC TR-EXT B9+MARG 3.1-4 CM                                                                                                                     </t>
  </si>
  <si>
    <t xml:space="preserve">EXC TR-EXT B9+MARG &gt; 4.0 CM                                                                                                                     </t>
  </si>
  <si>
    <t xml:space="preserve">EXC H-F-NK-SP B9+MARG 3.1-4                                                                                                                     </t>
  </si>
  <si>
    <t xml:space="preserve">EXC H-F-NK-SP B9+MARG &gt; 4 CM                                                                                                                    </t>
  </si>
  <si>
    <t xml:space="preserve">EXC FACE-MM B9+MARG 3.1-4 CM                                                                                                                    </t>
  </si>
  <si>
    <t xml:space="preserve">EXC FACE-MM B9+MARG &gt; 4 CM                                                                                                                      </t>
  </si>
  <si>
    <t xml:space="preserve">REMOVAL, SWEAT GLAND LESION                                                                                                                     </t>
  </si>
  <si>
    <t xml:space="preserve">EXC TR-EXT MLG+MARG 3.1-4 CM                                                                                                                    </t>
  </si>
  <si>
    <t xml:space="preserve">EXC TR-EXT MLG+MARG &gt; 4 CM                                                                                                                      </t>
  </si>
  <si>
    <t xml:space="preserve">EXC H-F-NK-SP MLG+MARG 3.1-4                                                                                                                    </t>
  </si>
  <si>
    <t xml:space="preserve">EXC H-F-NK-SP MLG+MAR &gt; 4 CM                                                                                                                    </t>
  </si>
  <si>
    <t xml:space="preserve">EXC FACE-MM MALIG+MARG 3.1-4                                                                                                                    </t>
  </si>
  <si>
    <t xml:space="preserve">EXC FACE-MM MLG+MARG &gt; 4 CM                                                                                                                     </t>
  </si>
  <si>
    <t xml:space="preserve">REMOVAL OF PILONIDAL LESION                                                                                                                     </t>
  </si>
  <si>
    <t xml:space="preserve">INSERT TISSUE EXPANDER(S)                                                                                                                       </t>
  </si>
  <si>
    <t xml:space="preserve">REPLACE TISSUE EXPANDER                                                                                                                         </t>
  </si>
  <si>
    <t xml:space="preserve">REMOVE TISSUE EXPANDER(S)                                                                                                                       </t>
  </si>
  <si>
    <t xml:space="preserve">REPAIR SUPERFICIAL WOUND(S)                                                                                                                     </t>
  </si>
  <si>
    <t xml:space="preserve">CLOSURE OF SPLIT WOUND                                                                                                                          </t>
  </si>
  <si>
    <t xml:space="preserve">REPAIR OF WOUND (2.6 TO 7.5 CENTIMETERS) OF THE SCALP, UNDERARMS, TRUNK, ARMS, AND/OR LEGS                                                      </t>
  </si>
  <si>
    <t xml:space="preserve">LAYER CLOSURE OF WOUND(S)                                                                                                                       </t>
  </si>
  <si>
    <t xml:space="preserve">REPAIR OF WOUND OR LESION                                                                                                                       </t>
  </si>
  <si>
    <t xml:space="preserve">REPAIR WOUND/LESION ADD-ON                                                                                                                      </t>
  </si>
  <si>
    <t xml:space="preserve">LATE CLOSURE OF WOUND                                                                                                                           </t>
  </si>
  <si>
    <t xml:space="preserve">SKIN TISSUE REARRANGEMENT                                                                                                                       </t>
  </si>
  <si>
    <t xml:space="preserve">ADJ TISSUE TRANSFER, 30.1 SQ CM-60.0 SQ CM                                                                                                      </t>
  </si>
  <si>
    <t xml:space="preserve">ADJ TISSUE TRANSFER, EA ADD'L 30.0 SQ CM                                                                                                        </t>
  </si>
  <si>
    <t xml:space="preserve">WND PREP, CH/INF, TRK/ARM/LG                                                                                                                    </t>
  </si>
  <si>
    <t xml:space="preserve">WND PREP, CH/INF ADDL 100 CM                                                                                                                    </t>
  </si>
  <si>
    <t xml:space="preserve">WND PREP CH/INF, F/N/HF/G                                                                                                                       </t>
  </si>
  <si>
    <t xml:space="preserve">WND PREP, F/N/HF/G, ADDL CM                                                                                                                     </t>
  </si>
  <si>
    <t xml:space="preserve">HARVEST CULTURED SKIN GRAFT                                                                                                                     </t>
  </si>
  <si>
    <t xml:space="preserve">SKIN PINCH GRAFT                                                                                                                                </t>
  </si>
  <si>
    <t xml:space="preserve">SKIN SPLT GRFT, TRNK/ARM/LEG                                                                                                                    </t>
  </si>
  <si>
    <t xml:space="preserve">SKIN SPLT GRFT T/A/L, ADD-ON                                                                                                                    </t>
  </si>
  <si>
    <t xml:space="preserve">EPIDRM AUTOGRFT TRNK/ARM/LEG                                                                                                                    </t>
  </si>
  <si>
    <t xml:space="preserve">EPIDRM AUTOGRFT T/A/L ADD-ON                                                                                                                    </t>
  </si>
  <si>
    <t xml:space="preserve">EPIDRM A-GRFT FACE/NCK/HF/G                                                                                                                     </t>
  </si>
  <si>
    <t xml:space="preserve">EPIDRM A-GRFT F/N/HF/G ADDL                                                                                                                     </t>
  </si>
  <si>
    <t xml:space="preserve">SKN SPLT A-GRFT FAC/NCK/HF/G                                                                                                                    </t>
  </si>
  <si>
    <t xml:space="preserve">SKN SPLT A-GRFT F/N/HF/G ADD                                                                                                                    </t>
  </si>
  <si>
    <t xml:space="preserve">DERM AUTOGRAFT, TRNK/ARM/LEG                                                                                                                    </t>
  </si>
  <si>
    <t xml:space="preserve">DERM AUTOGRAFT T/A/L ADD-ON                                                                                                                     </t>
  </si>
  <si>
    <t xml:space="preserve">DERM AUTOGRAFT FACE/NCK/HF/G                                                                                                                    </t>
  </si>
  <si>
    <t xml:space="preserve">DERM AUTOGRAFT, F/N/HF/G ADD                                                                                                                    </t>
  </si>
  <si>
    <t xml:space="preserve">CULT EPIDERM GRFT T/ARM/LEG                                                                                                                     </t>
  </si>
  <si>
    <t xml:space="preserve">CULT EPIDERM GRFT T/A/L ADDL                                                                                                                    </t>
  </si>
  <si>
    <t xml:space="preserve">CULT EPIDERM GRAFT T/A/L +%                                                                                                                     </t>
  </si>
  <si>
    <t xml:space="preserve">CULT EPIDERM GRAFT, F/N/HF/G                                                                                                                    </t>
  </si>
  <si>
    <t xml:space="preserve">CULT EPIDRM GRFT F/N/HFG ADD                                                                                                                    </t>
  </si>
  <si>
    <t xml:space="preserve">CULT EPIDERM GRFT F/N/HFG +%                                                                                                                    </t>
  </si>
  <si>
    <t xml:space="preserve">SKIN FULL GRAFT, TRUNK                                                                                                                          </t>
  </si>
  <si>
    <t xml:space="preserve">SKIN FULL GRAFT TRUNK ADD-ON                                                                                                                    </t>
  </si>
  <si>
    <t xml:space="preserve">SKIN FULL GRAFT SCLP/ARM/LEG                                                                                                                    </t>
  </si>
  <si>
    <t xml:space="preserve">SKIN FULL GRAFT ADD-ON                                                                                                                          </t>
  </si>
  <si>
    <t xml:space="preserve">SKIN FULL GRFT FACE/GENIT/HF                                                                                                                    </t>
  </si>
  <si>
    <t xml:space="preserve">SKIN FULL GRAFT EEN &amp; LIPS                                                                                                                      </t>
  </si>
  <si>
    <t xml:space="preserve">FORM SKIN PEDICLE FLAP                                                                                                                          </t>
  </si>
  <si>
    <t xml:space="preserve">SKIN GRAFT                                                                                                                                      </t>
  </si>
  <si>
    <t xml:space="preserve">TRANSFER SKIN PEDICLE FLAP                                                                                                                      </t>
  </si>
  <si>
    <t xml:space="preserve">MIDFACE FLAP (IE, ZYGOMATICOFACIAL FLAP) WITH PRESERVATION OF VASCULAR PEDICLE(S)                                                               </t>
  </si>
  <si>
    <t xml:space="preserve">FOREHEAD FLAP W/VASC PEDICLE                                                                                                                    </t>
  </si>
  <si>
    <t xml:space="preserve">CREATION OF FLAP GRAFT TO HEAD AND NECK W/ NAMED VASCULAR PEDICLE                                                                               </t>
  </si>
  <si>
    <t xml:space="preserve">MUSCLE-SKIN GRAFT, TRUNK                                                                                                                        </t>
  </si>
  <si>
    <t xml:space="preserve">MUSCLE-SKIN GRAFT, ARM                                                                                                                          </t>
  </si>
  <si>
    <t xml:space="preserve">MUSCLE-SKIN GRAFT, LEG                                                                                                                          </t>
  </si>
  <si>
    <t xml:space="preserve">ISLAND PEDICLE FLAP GRAFT                                                                                                                       </t>
  </si>
  <si>
    <t xml:space="preserve">NEUROVASCULAR PEDICLE GRAFT                                                                                                                     </t>
  </si>
  <si>
    <t xml:space="preserve">COMPOSITE SKIN GRAFT                                                                                                                            </t>
  </si>
  <si>
    <t xml:space="preserve">DERMA-FAT-FASCIA GRAFT                                                                                                                          </t>
  </si>
  <si>
    <t xml:space="preserve">HAIR TRANSPLANT PUNCH GRAFTS                                                                                                                    </t>
  </si>
  <si>
    <t xml:space="preserve">REVISION OF LOWER EYELID                                                                                                                        </t>
  </si>
  <si>
    <t>X</t>
  </si>
  <si>
    <t xml:space="preserve">REVISION OF UPPER EYELID                                                                                                                        </t>
  </si>
  <si>
    <t xml:space="preserve">REMOVAL OF FOREHEAD WRINKLES                                                                                                                    </t>
  </si>
  <si>
    <t xml:space="preserve">NECK WITH PLATYSMAL TIGHTENING (PLATYSMAL FLAP, P-FLAP)                                                                                         </t>
  </si>
  <si>
    <t xml:space="preserve">REMOVAL OF BROW WRINKLES                                                                                                                        </t>
  </si>
  <si>
    <t xml:space="preserve">REMOVAL OF FACE WRINKLES                                                                                                                        </t>
  </si>
  <si>
    <t xml:space="preserve">REMOVAL OF SKIN WRINKLES                                                                                                                        </t>
  </si>
  <si>
    <t xml:space="preserve">EXC SKIN ABD                                                                                                                                    </t>
  </si>
  <si>
    <t xml:space="preserve">EXCISE EXCESSIVE SKIN TISSUE                                                                                                                    </t>
  </si>
  <si>
    <t xml:space="preserve">GRAFT FOR FACE NERVE PALSY                                                                                                                      </t>
  </si>
  <si>
    <t xml:space="preserve">SKIN AND MUSCLE REPAIR, FACE                                                                                                                    </t>
  </si>
  <si>
    <t xml:space="preserve">EXC SKIN ABD ADD-ON                                                                                                                             </t>
  </si>
  <si>
    <t xml:space="preserve">SUCTION ASSISTED LIPECTOMY                                                                                                                      </t>
  </si>
  <si>
    <t xml:space="preserve">REMOVAL OF TAIL BONE ULCER                                                                                                                      </t>
  </si>
  <si>
    <t xml:space="preserve">REMOVE SACRUM PRESSURE SORE                                                                                                                     </t>
  </si>
  <si>
    <t xml:space="preserve">REMOVE HIP PRESSURE SORE                                                                                                                        </t>
  </si>
  <si>
    <t xml:space="preserve">REMOVE THIGH PRESSURE SORE                                                                                                                      </t>
  </si>
  <si>
    <t xml:space="preserve">DRESS/DEBRID P-THICK BURN, M                                                                                                                    </t>
  </si>
  <si>
    <t xml:space="preserve">DRESS/DEBRID P-THICK BURN, L                                                                                                                    </t>
  </si>
  <si>
    <t xml:space="preserve">INCISION OF BREAST LESION                                                                                                                       </t>
  </si>
  <si>
    <t xml:space="preserve">BIOPSY OF BREAST ACCESSED THROUGH THE SKIN WITH ULTRASOUND GUIDANCE     </t>
  </si>
  <si>
    <t xml:space="preserve">BX BREAST PERCUT W/O IMAGE                                                                                                                      </t>
  </si>
  <si>
    <t xml:space="preserve">BIOPSY OF BREAST, OPEN                                                                                                                          </t>
  </si>
  <si>
    <t xml:space="preserve">NIPPLE EXPLORATION                                                                                                                              </t>
  </si>
  <si>
    <t xml:space="preserve">EXCISE BREAST DUCT FISTULA                                                                                                                      </t>
  </si>
  <si>
    <t xml:space="preserve">REMOVAL OF BREAST LESION                                                                                                                        </t>
  </si>
  <si>
    <t xml:space="preserve">EXCISION, BREAST LESION                                                                                                                         </t>
  </si>
  <si>
    <t xml:space="preserve">EXCISION, ADDL BREAST LESION                                                                                                                    </t>
  </si>
  <si>
    <t xml:space="preserve">PLACE PO BREAST CATH FOR RAD                                                                                                                    </t>
  </si>
  <si>
    <t xml:space="preserve">PLACE BREAST CATH FOR RAD                                                                                                                       </t>
  </si>
  <si>
    <t xml:space="preserve">PLACE BREAST RAD TUBE/CATHS                                                                                                                     </t>
  </si>
  <si>
    <t xml:space="preserve">REMOVAL OF BREAST TISSUE                                                                                                                        </t>
  </si>
  <si>
    <t xml:space="preserve">PARTICAL MASTECTOMY                                                                                                                             </t>
  </si>
  <si>
    <t xml:space="preserve">P-MASTECTOMY W/LN REMOVAL                                                                                                                       </t>
  </si>
  <si>
    <t xml:space="preserve">MAST, SIMPLE, COMPLETE                                                                                                                          </t>
  </si>
  <si>
    <t xml:space="preserve">SUSPENSION OF BREAST                                                                                                                            </t>
  </si>
  <si>
    <t xml:space="preserve">REDUCTION OF LARGE BREAST                                                                                                                       </t>
  </si>
  <si>
    <t xml:space="preserve">PRIOR AUTH REQUIRED                                                                                                                             </t>
  </si>
  <si>
    <t xml:space="preserve">ENLARGE BREAST WITH IMPLANT                                                                                                                     </t>
  </si>
  <si>
    <t xml:space="preserve">REMOVAL OF BREAST IMPLANT                                                                                                                       </t>
  </si>
  <si>
    <t xml:space="preserve">REMOVAL OF IMPLANT MATERIAL                                                                                                                     </t>
  </si>
  <si>
    <t xml:space="preserve">IMMEDIATE BREAST PROSTHESIS                                                                                                                     </t>
  </si>
  <si>
    <t xml:space="preserve">DELAYED BREAST PROSTHESIS                                                                                                                       </t>
  </si>
  <si>
    <t xml:space="preserve">BREAST RECONSTRUCTION                                                                                                                           </t>
  </si>
  <si>
    <t xml:space="preserve">MEDICAL RECORDS FOR REVIEW.                                                                                                                     </t>
  </si>
  <si>
    <t xml:space="preserve">CORRECT INVERTED NIPPLE(S)                                                                                                                      </t>
  </si>
  <si>
    <t xml:space="preserve">SURGERY OF BREAST CAPSULE                                                                                                                       </t>
  </si>
  <si>
    <t xml:space="preserve">REMOVAL OF BREAST CAPSULE                                                                                                                       </t>
  </si>
  <si>
    <t xml:space="preserve">REVISE BREAST RECONSTRUCTION                                                                                                                    </t>
  </si>
  <si>
    <t xml:space="preserve">MUSCLE BIOPSY                                                                                                                                   </t>
  </si>
  <si>
    <t xml:space="preserve">DEEP MUSCLE BIOPSY                                                                                                                              </t>
  </si>
  <si>
    <t xml:space="preserve">NEEDLE BIOPSY, MUSCLE                                                                                                                           </t>
  </si>
  <si>
    <t xml:space="preserve">BONE BIOPSY, TROCAR/NEEDLE                                                                                                                      </t>
  </si>
  <si>
    <t xml:space="preserve">BONE BIOPSY, EXCISIONAL                                                                                                                         </t>
  </si>
  <si>
    <t xml:space="preserve">OPEN BONE BIOPSY                                                                                                                                </t>
  </si>
  <si>
    <t xml:space="preserve">REMOVAL OF FOREIGN BODY                                                                                                                         </t>
  </si>
  <si>
    <t xml:space="preserve">PLACEMENT OF NEEDLE OR CATHETERS INTO A MUSCLE AND/OR SOFT TISSUE FOR SUBSEQUENT INTERSTITIAL RADIOELEMENT APPICATION (AT THE TIME OF OR SUBSEQ </t>
  </si>
  <si>
    <t xml:space="preserve">INSERT AND REMOVE BONE PIN                                                                                                                      </t>
  </si>
  <si>
    <t xml:space="preserve">REMOVAL OF SUPPORT IMPLANT                                                                                                                      </t>
  </si>
  <si>
    <t xml:space="preserve">APPLY BONE FIXATION DEVICE                                                                                                                      </t>
  </si>
  <si>
    <t xml:space="preserve">ADJUST BONE FIXATION DEVICE                                                                                                                     </t>
  </si>
  <si>
    <t xml:space="preserve">REMOVE BONE FIXATION DEVICE                                                                                                                     </t>
  </si>
  <si>
    <t xml:space="preserve">REPLANTATION, DIGIT, EXCLUDING THUMB (INCLUDES DISTAL TIP TO SUBLIMIS TENDON INSERTION), COMPLETE AMPUTATION                                    </t>
  </si>
  <si>
    <t xml:space="preserve">REMOVAL OF BONE FOR GRAFT                                                                                                                       </t>
  </si>
  <si>
    <t xml:space="preserve">REMOVE CARTILAGE FOR GRAFT                                                                                                                      </t>
  </si>
  <si>
    <t xml:space="preserve">REMOVAL OF FASCIA FOR GRAFT                                                                                                                     </t>
  </si>
  <si>
    <t xml:space="preserve">REMOVAL OF TENDON FOR GRAFT                                                                                                                     </t>
  </si>
  <si>
    <t xml:space="preserve">ELECTRICAL BONE STIMULATION                                                                                                                     </t>
  </si>
  <si>
    <t xml:space="preserve">ABLATION, BONE TUMOR(S) (EG, OSTEOID, OSTEOMA, METASTISIS) RADIOFREQUENCY PERCUTANEOUS, INCLUDING COMPUTED TOMOGRAPHIC GUIDANCE                 </t>
  </si>
  <si>
    <t xml:space="preserve">INCISION OF JAW JOINT                                                                                                                           </t>
  </si>
  <si>
    <t xml:space="preserve">EXC, TUMOR, FACE/SCALP, SUBQ; 2CM/&gt;                                                                                                             </t>
  </si>
  <si>
    <t xml:space="preserve">EXC, TUMOR, FACE/SCALP, SUBFASCL; 2 CM/&gt;                                                                                                        </t>
  </si>
  <si>
    <t xml:space="preserve">RESECTION OF FACIAL TUMOR                                                                                                                       </t>
  </si>
  <si>
    <t xml:space="preserve">RAD RESECT TUMOR FACE/SCALP; 2CM/&gt;                                                                                                              </t>
  </si>
  <si>
    <t xml:space="preserve">EXCISION OF BONE, LOWER JAW                                                                                                                     </t>
  </si>
  <si>
    <t xml:space="preserve">EXCISION OF FACIAL BONE(S)                                                                                                                      </t>
  </si>
  <si>
    <t xml:space="preserve">CONTOUR OF FACE BONE LESION                                                                                                                     </t>
  </si>
  <si>
    <t xml:space="preserve">EXCISE MAX/ZYGOMA MLG TUMOR                                                                                                                     </t>
  </si>
  <si>
    <t xml:space="preserve">EXCISE MANDIBLE LESION                                                                                                                          </t>
  </si>
  <si>
    <t xml:space="preserve">REMOVAL OF JAW BONE LESION                                                                                                                      </t>
  </si>
  <si>
    <t xml:space="preserve">REMOVE MANDIBLE CYST COMPLEX                                                                                                                    </t>
  </si>
  <si>
    <t xml:space="preserve">EXCISE LWR JAW CYST W/REPAIR                                                                                                                    </t>
  </si>
  <si>
    <t xml:space="preserve">REMOVAL OF JAW JOINT                                                                                                                            </t>
  </si>
  <si>
    <t xml:space="preserve">REMOVE JAW JOINT CARTILAGE                                                                                                                      </t>
  </si>
  <si>
    <t xml:space="preserve">REMOVE CORONOID PROCESS                                                                                                                         </t>
  </si>
  <si>
    <t xml:space="preserve">MAXILLOFACIAL FIXATION                                                                                                                          </t>
  </si>
  <si>
    <t xml:space="preserve">RECONSTRUCTION OF CHIN                                                                                                                          </t>
  </si>
  <si>
    <t xml:space="preserve">AUGMENTATION, LOWER JAW BONE                                                                                                                    </t>
  </si>
  <si>
    <t xml:space="preserve">CONTOUR CRANIAL BONE LESION                                                                                                                     </t>
  </si>
  <si>
    <t xml:space="preserve">OSTEOTOMY, MANDIBLE, SEGMENTAL- REVIEW MED NECES/COSMETIC               </t>
  </si>
  <si>
    <t xml:space="preserve">OSTEOTOMY, MANDIBLE, SEGMENTA; WITH GENIOGLOSSUS ADVANCEMENT            </t>
  </si>
  <si>
    <t xml:space="preserve">PRIOR AUTHORIZATION                                                                                                                             </t>
  </si>
  <si>
    <t xml:space="preserve">RECONSTRUCT UPPER JAW BONE                                                                                                                      </t>
  </si>
  <si>
    <t xml:space="preserve">AUGMENTATION OF FACIAL BONES                                                                                                                    </t>
  </si>
  <si>
    <t xml:space="preserve">REDUCTION OF FACIAL BONES                                                                                                                       </t>
  </si>
  <si>
    <t xml:space="preserve">FACE BONE GRAFT                                                                                                                                 </t>
  </si>
  <si>
    <t xml:space="preserve">LOWER JAW BONE GRAFT                                                                                                                            </t>
  </si>
  <si>
    <t xml:space="preserve">RIB CARTILAGE GRAFT                                                                                                                             </t>
  </si>
  <si>
    <t xml:space="preserve">EAR CARTILAGE GRAFT                                                                                                                             </t>
  </si>
  <si>
    <t xml:space="preserve">RECONSTRUCTION OF JAW JOINT                                                                                                                     </t>
  </si>
  <si>
    <t xml:space="preserve">RECONSTRUCTION OF LOWER JAW                                                                                                                     </t>
  </si>
  <si>
    <t xml:space="preserve">RECONSTRUCTION OF JAW                                                                                                                           </t>
  </si>
  <si>
    <t xml:space="preserve">REVISE EYE SOCKETS                                                                                                                              </t>
  </si>
  <si>
    <t xml:space="preserve">AUGMENTATION, CHEEK BONE                                                                                                                        </t>
  </si>
  <si>
    <t xml:space="preserve">REVISION, ORBITOFACIAL BONES                                                                                                                    </t>
  </si>
  <si>
    <t xml:space="preserve">REVISION OF EYELID                                                                                                                              </t>
  </si>
  <si>
    <t xml:space="preserve">REVISION OF JAW MUSCLE/BONE                                                                                                                     </t>
  </si>
  <si>
    <t xml:space="preserve">TREATMENT OF NOSE FRACTURE                                                                                                                      </t>
  </si>
  <si>
    <t xml:space="preserve">TREAT NASAL SEPTAL FRACTURE                                                                                                                     </t>
  </si>
  <si>
    <t xml:space="preserve">TREAT NASOETHMOID FRACTURE                                                                                                                      </t>
  </si>
  <si>
    <t xml:space="preserve">TREAT NOSE/JAW FRACTURE                                                                                                                         </t>
  </si>
  <si>
    <t xml:space="preserve">TREAT CHEEK BONE FRACTURE                                                                                                                       </t>
  </si>
  <si>
    <t xml:space="preserve">OPEN TREATMENT OF CLOSED OR OPEN DEPRESSSED MALAR FRACTURE INCLUDING  ZYGOMATIC ARCH AND MALAR TRIPOD                                           </t>
  </si>
  <si>
    <t xml:space="preserve">TREAT EYE SOCKET FRACTURE                                                                                                                       </t>
  </si>
  <si>
    <t xml:space="preserve">TREAT MOUTH ROOF FRACTURE                                                                                                                       </t>
  </si>
  <si>
    <t xml:space="preserve">CLOSED TREATMENT OF MANDIBULAR OR MAXILLARY ALVEOLAR RIDGE FRACTURE   (SEPARATE PROCEDURE)                                                      </t>
  </si>
  <si>
    <t xml:space="preserve">TREAT DENTAL RIDGE FRACTURE                                                                                                                     </t>
  </si>
  <si>
    <t xml:space="preserve">TREAT LOWER JAW FRACTURE                                                                                                                        </t>
  </si>
  <si>
    <t xml:space="preserve">RESET DISLOCATED JAW                                                                                                                            </t>
  </si>
  <si>
    <t xml:space="preserve">REPAIR DISLOCATED JAW                                                                                                                           </t>
  </si>
  <si>
    <t xml:space="preserve">INTERDENTAL WIRING                                                                                                                              </t>
  </si>
  <si>
    <t xml:space="preserve">DRAIN NECK/CHEST LESION                                                                                                                         </t>
  </si>
  <si>
    <t xml:space="preserve">DRAIN CHEST LESION                                                                                                                              </t>
  </si>
  <si>
    <t xml:space="preserve">BIOPSY, SOFT TISSUES OF NECK OR THORAX                                  </t>
  </si>
  <si>
    <t xml:space="preserve">BX, SFT TISSUE OF NECK/THORAX;3CM                                                                                                               </t>
  </si>
  <si>
    <t xml:space="preserve">BX, SFT TISSUE OF NECK/THORAX; 5CM/&gt;                                                                                                            </t>
  </si>
  <si>
    <t xml:space="preserve">REMOVE LESION, NECK/CHEST                                                                                                                       </t>
  </si>
  <si>
    <t xml:space="preserve">REMOVAL OF (LESS THAN 5 CM) GROWTH OF NECK OR FRONT OF CHEST            </t>
  </si>
  <si>
    <t xml:space="preserve">RAD RESECT TUMR NECK/ANT THX;5 CM/&gt;                                                                                                             </t>
  </si>
  <si>
    <t xml:space="preserve">PARTIAL REMOVAL OF RIB                                                                                                                          </t>
  </si>
  <si>
    <t xml:space="preserve">HYOID MYOTOMY AND SUSPENSION                                            </t>
  </si>
  <si>
    <t xml:space="preserve">REVISION OF NECK MUSCLE                                                                                                                         </t>
  </si>
  <si>
    <t xml:space="preserve">TREAT STERNUM FRACTURE                                                                                                                          </t>
  </si>
  <si>
    <t xml:space="preserve">BIOPSY, SOFT TISSUE OF BACK OR FLANK, SUPERFICIAL                       </t>
  </si>
  <si>
    <t xml:space="preserve">BIOPSY SOFT TISSUE OF BACK                                                                                                                      </t>
  </si>
  <si>
    <t xml:space="preserve">REMOVE LESION, BACK OR FLANK                                                                                                                    </t>
  </si>
  <si>
    <t xml:space="preserve">EXC , TUMR, BACK/FLANK,SUBQ 3 CM OR&gt;                                                                                                            </t>
  </si>
  <si>
    <t xml:space="preserve">EXC, TUMR, BACK/FLANK, SUBFASCL; &lt;5CM                                                                                                           </t>
  </si>
  <si>
    <t xml:space="preserve">EXC, TUMR,BACK/FLANK,SUBFASCL; 5 CM/&gt;                                                                                                           </t>
  </si>
  <si>
    <t xml:space="preserve">REMOVE TUMOR, BACK                                                                                                                              </t>
  </si>
  <si>
    <t xml:space="preserve">RAD RESEC TUMOR BACK/FLANK;5 CM OR&gt;                                                                                                             </t>
  </si>
  <si>
    <t xml:space="preserve">TREAT SPINE FRACTURE                                                                                                                            </t>
  </si>
  <si>
    <t xml:space="preserve">MANIPULATION OF SPINE                                                                                                                           </t>
  </si>
  <si>
    <t xml:space="preserve">REMOVE ABDOMINAL WALL LESION                                                                                                                    </t>
  </si>
  <si>
    <t xml:space="preserve">EXC, TUMR, ABD WALL, SUBFASCL; 5 CM OR &gt;                                                                                                        </t>
  </si>
  <si>
    <t xml:space="preserve">EXC, TUMOR, ABD WALL, SUBQ; &lt;THAN 3 CM                                                                                                          </t>
  </si>
  <si>
    <t xml:space="preserve">EXC, TUMOR, ABD WALL, SUBQ 3 CM OR &gt;                                                                                                            </t>
  </si>
  <si>
    <t xml:space="preserve">RAD RESECT TUMOR ABD WALL;&lt;5 CM                                                                                                                 </t>
  </si>
  <si>
    <t xml:space="preserve">RAD RESECT TUMOR ABD WALL; 5 CM OR&gt;                                                                                                             </t>
  </si>
  <si>
    <t xml:space="preserve">REMOVAL OF CALCIUM DEPOSITS                                                                                                                     </t>
  </si>
  <si>
    <t xml:space="preserve">RELEASE SHOULDER JOINT                                                                                                                          </t>
  </si>
  <si>
    <t xml:space="preserve">DRAIN SHOULDER LESION                                                                                                                           </t>
  </si>
  <si>
    <t xml:space="preserve">DRAIN SHOULDER BURSA                                                                                                                            </t>
  </si>
  <si>
    <t xml:space="preserve">DRAIN SHOULDER BONE LESION                                                                                                                      </t>
  </si>
  <si>
    <t xml:space="preserve">EXPLORATORY SHOULDER SURGERY                                                                                                                    </t>
  </si>
  <si>
    <t xml:space="preserve">BIOPSY SHOULDER TISSUES                                                                                                                         </t>
  </si>
  <si>
    <t xml:space="preserve">BX, SFT TISS OF SHOULDER AREA; 3 CM OR&gt;                                                                                                         </t>
  </si>
  <si>
    <t xml:space="preserve">BX, SFT TISS OF SHOULDER AREA; 5 CM OR&gt;                                                                                                         </t>
  </si>
  <si>
    <t xml:space="preserve">REMOVAL OF SHOULDER LESION                                                                                                                      </t>
  </si>
  <si>
    <t xml:space="preserve">REMOVE TUMOR OF SHOULDER                                                                                                                        </t>
  </si>
  <si>
    <t xml:space="preserve">RAD RESECT TUMOR,SHOULDER; 5CM OR&gt;                                                                                                              </t>
  </si>
  <si>
    <t xml:space="preserve">BIOPSY OF SHOULDER JOINT                                                                                                                        </t>
  </si>
  <si>
    <t xml:space="preserve">SHOULDER JOINT SURGERY                                                                                                                          </t>
  </si>
  <si>
    <t xml:space="preserve">REMOVE SHOULDER JOINT LINING                                                                                                                    </t>
  </si>
  <si>
    <t xml:space="preserve">INCISION OF COLLARBONE JOINT                                                                                                                    </t>
  </si>
  <si>
    <t xml:space="preserve">EXPLORE TREAT SHOULDER JOINT                                                                                                                    </t>
  </si>
  <si>
    <t xml:space="preserve">PARTIAL REMOVAL, COLLAR BONE                                                                                                                    </t>
  </si>
  <si>
    <t xml:space="preserve">REMOVAL OF COLLAR BONE                                                                                                                          </t>
  </si>
  <si>
    <t xml:space="preserve">REMOVE SHOULDER BONE, PART                                                                                                                      </t>
  </si>
  <si>
    <t xml:space="preserve">REMOVAL OF BONE LESION                                                                                                                          </t>
  </si>
  <si>
    <t xml:space="preserve">REMOVAL OF HUMERUS LESION                                                                                                                       </t>
  </si>
  <si>
    <t xml:space="preserve">REMOVE COLLAR BONE LESION                                                                                                                       </t>
  </si>
  <si>
    <t xml:space="preserve">REMOVE SHOULDER BLADE LESION                                                                                                                    </t>
  </si>
  <si>
    <t xml:space="preserve">REMOVE HUMERUS LESION                                                                                                                           </t>
  </si>
  <si>
    <t xml:space="preserve">PARTIAL REMOVAL OF SCAPULA                                                                                                                      </t>
  </si>
  <si>
    <t xml:space="preserve">REMOVAL OF HEAD OF HUMERUS                                                                                                                      </t>
  </si>
  <si>
    <t xml:space="preserve">REMOVE SHOULDER FOREIGN BODY                                                                                                                    </t>
  </si>
  <si>
    <t xml:space="preserve">REMOVAL OF FOREIGN BODY OF SHOULDER JOINT, ACCESSED BENEATH THE TISSUE  OR MUSCLE.                                                              </t>
  </si>
  <si>
    <t xml:space="preserve">MUSCLE TRANSFER, SHOULDER/ARM                                                                                                                   </t>
  </si>
  <si>
    <t xml:space="preserve">MUSCLE TRANSFERS                                                                                                                                </t>
  </si>
  <si>
    <t xml:space="preserve">FIXATION OF SHOULDER BLADE                                                                                                                      </t>
  </si>
  <si>
    <t xml:space="preserve">INCISION OF TENDON &amp; MUSCLE                                                                                                                     </t>
  </si>
  <si>
    <t xml:space="preserve">INCISE TENDON(S) &amp; MUSCLE(S)                                                                                                                    </t>
  </si>
  <si>
    <t xml:space="preserve">REPAIR ROTATOR CUFF, ACUTE                                                                                                                      </t>
  </si>
  <si>
    <t xml:space="preserve">REPAIR ROTATOR CUFF, CHRONIC                                                                                                                    </t>
  </si>
  <si>
    <t xml:space="preserve">RELEASE OF SHOULDER LIGAMENT                                                                                                                    </t>
  </si>
  <si>
    <t xml:space="preserve">REPAIR OF SHOULDER                                                                                                                              </t>
  </si>
  <si>
    <t xml:space="preserve">REPAIR BICEPS TENDON                                                                                                                            </t>
  </si>
  <si>
    <t xml:space="preserve">REMOVE/TRANSPLANT TENDON                                                                                                                        </t>
  </si>
  <si>
    <t xml:space="preserve">REPAIR SHOULDER CAPSULE                                                                                                                         </t>
  </si>
  <si>
    <t xml:space="preserve">REVISION OF COLLAR BONE                                                                                                                         </t>
  </si>
  <si>
    <t xml:space="preserve">REINFORCE CLAVICLE                                                                                                                              </t>
  </si>
  <si>
    <t xml:space="preserve">REINFORCE SHOULDER BONES                                                                                                                        </t>
  </si>
  <si>
    <t xml:space="preserve">TREAT CLAVICLE FRACTURE                                                                                                                         </t>
  </si>
  <si>
    <t xml:space="preserve">TREAT CLAVICLE DISLOCATION                                                                                                                      </t>
  </si>
  <si>
    <t xml:space="preserve">TREAT SHOULDER BLADE FX                                                                                                                         </t>
  </si>
  <si>
    <t xml:space="preserve">TREAT SCAPULA FRACTURE                                                                                                                          </t>
  </si>
  <si>
    <t xml:space="preserve">TREAT HUMERUS FRACTURE                                                                                                                          </t>
  </si>
  <si>
    <t xml:space="preserve">TREAT SHOULDER DISLOCATION                                                                                                                      </t>
  </si>
  <si>
    <t xml:space="preserve">TREAT DISLOCATION/FRACTURE                                                                                                                      </t>
  </si>
  <si>
    <t xml:space="preserve">FIXATION OF SHOULDER                                                                                                                            </t>
  </si>
  <si>
    <t xml:space="preserve">FUSION OF SHOULDER JOINT                                                                                                                        </t>
  </si>
  <si>
    <t xml:space="preserve">AMPUTATION FOLLOW-UP SURGERY                                                                                                                    </t>
  </si>
  <si>
    <t xml:space="preserve">DRAINAGE OF ARM LESION                                                                                                                          </t>
  </si>
  <si>
    <t xml:space="preserve">DRAINAGE OF ARM BURSA                                                                                                                           </t>
  </si>
  <si>
    <t xml:space="preserve">DRAIN ARM/ELBOW BONE LESION                                                                                                                     </t>
  </si>
  <si>
    <t xml:space="preserve">EXPLORATORY ELBOW SURGERY                                                                                                                       </t>
  </si>
  <si>
    <t xml:space="preserve">RELEASE ELBOW JOINT                                                                                                                             </t>
  </si>
  <si>
    <t xml:space="preserve">BIOPSY ARM/ELBOW SOFT TISSUE                                                                                                                    </t>
  </si>
  <si>
    <t xml:space="preserve">BX, SFT TISSUE UPPER ARM/ELB; 3 CM OR &gt;                                                                                                         </t>
  </si>
  <si>
    <t xml:space="preserve">BX SFT TISSUE UPPER ARM/ELB; 5CM OR &gt;                                                                                                           </t>
  </si>
  <si>
    <t xml:space="preserve">REMOVE ARM/ELBOW LESION                                                                                                                         </t>
  </si>
  <si>
    <t xml:space="preserve">REMOVE TUMOR OF ARM/ELBOW                                                                                                                       </t>
  </si>
  <si>
    <t xml:space="preserve">ARTHROTOMY, ELBOW WITH SYNOVIAL BIOPSY                                                                                                          </t>
  </si>
  <si>
    <t xml:space="preserve">EXPLORE/TREAT ELBOW JOINT                                                                                                                       </t>
  </si>
  <si>
    <t xml:space="preserve">REMOVE ELBOW JOINT LINING                                                                                                                       </t>
  </si>
  <si>
    <t xml:space="preserve">REMOVAL OF ELBOW BURSA                                                                                                                          </t>
  </si>
  <si>
    <t xml:space="preserve">REMOVE/GRAFT BONE LESION                                                                                                                        </t>
  </si>
  <si>
    <t xml:space="preserve">REMOVE ELBOW LESION                                                                                                                             </t>
  </si>
  <si>
    <t xml:space="preserve">REMOVAL OF HEAD OF RADIUS                                                                                                                       </t>
  </si>
  <si>
    <t xml:space="preserve">REMOVAL OF ARM BONE LESION                                                                                                                      </t>
  </si>
  <si>
    <t xml:space="preserve">REMOVE RADIUS BONE LESION                                                                                                                       </t>
  </si>
  <si>
    <t xml:space="preserve">REMOVE ELBOW BONE LESION                                                                                                                        </t>
  </si>
  <si>
    <t xml:space="preserve">PARTIAL REMOVAL OF ARM BONE                                                                                                                     </t>
  </si>
  <si>
    <t xml:space="preserve">PARTIAL REMOVAL OF RADIUS                                                                                                                       </t>
  </si>
  <si>
    <t xml:space="preserve">PARTIAL REMOVAL OF ELBOW                                                                                                                        </t>
  </si>
  <si>
    <t xml:space="preserve">REMOVAL OF ELBOW JOINT                                                                                                                          </t>
  </si>
  <si>
    <t xml:space="preserve">REMOVE ELBOW JOINT IMPLANT                                                                                                                      </t>
  </si>
  <si>
    <t xml:space="preserve">REMOVE RADIUS HEAD IMPLANT                                                                                                                      </t>
  </si>
  <si>
    <t xml:space="preserve">REMOVAL OF ARM FOREIGN BODY                                                                                                                     </t>
  </si>
  <si>
    <t xml:space="preserve">MUSCLE/TENDON TRANSFER                                                                                                                          </t>
  </si>
  <si>
    <t xml:space="preserve">ARM TENDON LENGTHENING                                                                                                                          </t>
  </si>
  <si>
    <t xml:space="preserve">REVISION OF ARM TENDON                                                                                                                          </t>
  </si>
  <si>
    <t xml:space="preserve">REPAIR OF ARM TENDON                                                                                                                            </t>
  </si>
  <si>
    <t xml:space="preserve">REVISION OF ARM MUSCLES                                                                                                                         </t>
  </si>
  <si>
    <t xml:space="preserve">TENOLYSIS, TRICEPS                                                      </t>
  </si>
  <si>
    <t xml:space="preserve">REPAIR OF BICEPS TENDON                                                                                                                         </t>
  </si>
  <si>
    <t xml:space="preserve">REPAIR ARM TENDON/MUSCLE                                                                                                                        </t>
  </si>
  <si>
    <t xml:space="preserve">REPAIR OF RUPTURED TENDON                                                                                                                       </t>
  </si>
  <si>
    <t xml:space="preserve">REPAIR LATERAL COLLATERAL LIGAMENT, ELBOW, WITH LOCAL TISSUE            </t>
  </si>
  <si>
    <t xml:space="preserve">REPR ELBW MED LIGMNT W/TISSU                                                                                                                    </t>
  </si>
  <si>
    <t xml:space="preserve">TENOTOMY,ELBOW, LATERAL OR MEDIAL (E.G, EPICONDYLITIS, TENNIS ELBOW, GOLFER'S ELBOW); PERCUTANEOUS.                                             </t>
  </si>
  <si>
    <t xml:space="preserve">DEBRIDEMENT, SOFT TISSUE AND/OR BONE, OPEN                              </t>
  </si>
  <si>
    <t xml:space="preserve">REMOVAL OF TISSUE AND/OR BONE AT ELBOW WITH TENDON REPAIR, OPEN PROCEDURE                                                                       </t>
  </si>
  <si>
    <t xml:space="preserve">RECONSTRUCT ELBOW JOINT                                                                                                                         </t>
  </si>
  <si>
    <t xml:space="preserve">REPLACE ELBOW JOINT                                                                                                                             </t>
  </si>
  <si>
    <t xml:space="preserve">RECONSTRUCT HEAD OF RADIUS                                                                                                                      </t>
  </si>
  <si>
    <t xml:space="preserve">REVISION OF HUMERUS                                                                                                                             </t>
  </si>
  <si>
    <t xml:space="preserve">REPAIR OF HUMERUS                                                                                                                               </t>
  </si>
  <si>
    <t xml:space="preserve">REPAIR HUMERUS WITH GRAFT                                                                                                                       </t>
  </si>
  <si>
    <t xml:space="preserve">REVISION OF ELBOW JOINT                                                                                                                         </t>
  </si>
  <si>
    <t xml:space="preserve">DECOMPRESSION OF FOREARM                                                                                                                        </t>
  </si>
  <si>
    <t xml:space="preserve">REINFORCE HUMERUS                                                                                                                               </t>
  </si>
  <si>
    <t xml:space="preserve">TREAT ELBOW FRACTURE                                                                                                                            </t>
  </si>
  <si>
    <t xml:space="preserve">TREAT ELBOW DISLOCATION                                                                                                                         </t>
  </si>
  <si>
    <t xml:space="preserve">TREAT RADIUS FRACTURE                                                                                                                           </t>
  </si>
  <si>
    <t xml:space="preserve">TREAT ULNAR FRACTURE                                                                                                                            </t>
  </si>
  <si>
    <t xml:space="preserve">FUSION OF ELBOW JOINT                                                                                                                           </t>
  </si>
  <si>
    <t xml:space="preserve">FUSION/GRAFT OF ELBOW JOINT                                                                                                                     </t>
  </si>
  <si>
    <t xml:space="preserve">INCISION OF TENDON SHEATH                                                                                                                       </t>
  </si>
  <si>
    <t xml:space="preserve">DECOMPRESS FOREARM 1 SPACE                                                                                                                      </t>
  </si>
  <si>
    <t xml:space="preserve">DECOMPRESS FOREARM 2 SPACES                                                                                                                     </t>
  </si>
  <si>
    <t xml:space="preserve">DRAINAGE OF FOREARM LESION                                                                                                                      </t>
  </si>
  <si>
    <t xml:space="preserve">DRAINAGE OF FOREARM BURSA                                                                                                                       </t>
  </si>
  <si>
    <t xml:space="preserve">TREAT FOREARM BONE LESION                                                                                                                       </t>
  </si>
  <si>
    <t xml:space="preserve">EXPLORE/TREAT WRIST JOINT                                                                                                                       </t>
  </si>
  <si>
    <t xml:space="preserve">BIOPSY FOREARM SOFT TISSUES                                                                                                                     </t>
  </si>
  <si>
    <t xml:space="preserve">BX, SFT TISSUE FA/WRIST;SUBQ; 3 CM OR &gt;                                                                                                         </t>
  </si>
  <si>
    <t xml:space="preserve">BX SFT TISS FA/WRIST, SUBFASC: 3 CM OR&gt;                                                                                                         </t>
  </si>
  <si>
    <t xml:space="preserve">REMOVAL FOREARM LESION SUBCU                                                                                                                    </t>
  </si>
  <si>
    <t xml:space="preserve">REMOVAL FOREARM LESION DEEP                                                                                                                     </t>
  </si>
  <si>
    <t xml:space="preserve">REMOVE TUMOR, FOREARM/WRIST                                                                                                                     </t>
  </si>
  <si>
    <t xml:space="preserve">RAD RESET TUMOR FA/WRIST; 3 CM OR&gt;                                                                                                              </t>
  </si>
  <si>
    <t xml:space="preserve">INCISION OF WRIST CAPSULE                                                                                                                       </t>
  </si>
  <si>
    <t xml:space="preserve">BIOPSY OF WRIST JOINT                                                                                                                           </t>
  </si>
  <si>
    <t xml:space="preserve">REMOVE WRIST JOINT LINING                                                                                                                       </t>
  </si>
  <si>
    <t xml:space="preserve">REMOVE WRIST JOINT CARTILAGE                                                                                                                    </t>
  </si>
  <si>
    <t xml:space="preserve">REMOVE WRIST TENDON LESION                                                                                                                      </t>
  </si>
  <si>
    <t xml:space="preserve">REMOVE WRIST/FOREARM LESION                                                                                                                     </t>
  </si>
  <si>
    <t xml:space="preserve">EXCISE WRIST TENDON SHEATH                                                                                                                      </t>
  </si>
  <si>
    <t xml:space="preserve">PARTIAL REMOVAL OF ULNA                                                                                                                         </t>
  </si>
  <si>
    <t xml:space="preserve">REMOVAL OF FOREARM LESION                                                                                                                       </t>
  </si>
  <si>
    <t xml:space="preserve">REMOVE/GRAFT FOREARM LESION                                                                                                                     </t>
  </si>
  <si>
    <t xml:space="preserve">REMOVAL OF WRIST LESION                                                                                                                         </t>
  </si>
  <si>
    <t xml:space="preserve">REMOVE &amp; GRAFT WRIST LESION                                                                                                                     </t>
  </si>
  <si>
    <t xml:space="preserve">REMOVE FOREARM BONE LESION                                                                                                                      </t>
  </si>
  <si>
    <t xml:space="preserve">REMOVAL OF WRIST BONE                                                                                                                           </t>
  </si>
  <si>
    <t xml:space="preserve">REMOVAL OF WRIST BONES                                                                                                                          </t>
  </si>
  <si>
    <t xml:space="preserve">REMOVE FOREARM FOREIGN BODY                                                                                                                     </t>
  </si>
  <si>
    <t xml:space="preserve">REMOVAL OF WRIST PROSTHESIS                                                                                                                     </t>
  </si>
  <si>
    <t xml:space="preserve">REPAIR FOREARM TENDON/MUSCLE                                                                                                                    </t>
  </si>
  <si>
    <t xml:space="preserve">REPAIR FOREARM TENDON SHEATH                                                                                                                    </t>
  </si>
  <si>
    <t xml:space="preserve">REVISE WRIST/FOREARM TENDON                                                                                                                     </t>
  </si>
  <si>
    <t xml:space="preserve">INCISE WRIST/FOREARM TENDON                                                                                                                     </t>
  </si>
  <si>
    <t xml:space="preserve">RELEASE WRIST/FOREARM TENDON                                                                                                                    </t>
  </si>
  <si>
    <t xml:space="preserve">FUSION OF TENDONS AT WRIST                                                                                                                      </t>
  </si>
  <si>
    <t xml:space="preserve">TRANSPLANT FOREARM TENDON                                                                                                                       </t>
  </si>
  <si>
    <t xml:space="preserve">REVISE PALSY HAND TENDON(S)                                                                                                                     </t>
  </si>
  <si>
    <t xml:space="preserve">REPAIR/REVISE WRIST JOINT                                                                                                                       </t>
  </si>
  <si>
    <t xml:space="preserve">REVISE WRIST JOINT                                                                                                                              </t>
  </si>
  <si>
    <t xml:space="preserve">REALIGNMENT OF HAND                                                                                                                             </t>
  </si>
  <si>
    <t xml:space="preserve">RECONSTRUCT ULNA/RADIOULNAR                                                                                                                     </t>
  </si>
  <si>
    <t xml:space="preserve">REVISION OF RADIUS                                                                                                                              </t>
  </si>
  <si>
    <t xml:space="preserve">REVISION OF ULNA                                                                                                                                </t>
  </si>
  <si>
    <t xml:space="preserve">REVISE RADIUS &amp; ULNA                                                                                                                            </t>
  </si>
  <si>
    <t xml:space="preserve">REVISE RADIUS OR ULNA                                                                                                                           </t>
  </si>
  <si>
    <t xml:space="preserve">SHORTEN RADIUS OR ULNA                                                                                                                          </t>
  </si>
  <si>
    <t xml:space="preserve">LENGTHEN RADIUS OR ULNA                                                                                                                         </t>
  </si>
  <si>
    <t xml:space="preserve">SHORTEN RADIUS &amp; ULNA                                                                                                                           </t>
  </si>
  <si>
    <t xml:space="preserve">LENGTHEN RADIUS &amp; ULNA                                                                                                                          </t>
  </si>
  <si>
    <t xml:space="preserve">REPAIR RADIUS OR ULNA                                                                                                                           </t>
  </si>
  <si>
    <t xml:space="preserve">REPAIR/GRAFT RADIUS OR ULNA                                                                                                                     </t>
  </si>
  <si>
    <t xml:space="preserve">REPAIR RADIUS &amp; ULNA                                                                                                                            </t>
  </si>
  <si>
    <t xml:space="preserve">REPAIR/GRAFT RADIUS &amp; ULNA                                                                                                                      </t>
  </si>
  <si>
    <t xml:space="preserve">REPAIR/GRAFT WRIST BONE                                                                                                                         </t>
  </si>
  <si>
    <t xml:space="preserve">RECONSTRUCT WRIST JOINT                                                                                                                         </t>
  </si>
  <si>
    <t xml:space="preserve">WRIST REPLACEMENT                                                                                                                               </t>
  </si>
  <si>
    <t xml:space="preserve">REPAIR WRIST JOINT(S)                                                                                                                           </t>
  </si>
  <si>
    <t xml:space="preserve">REMOVE WRIST JOINT IMPLANT                                                                                                                      </t>
  </si>
  <si>
    <t xml:space="preserve">REVISION OF WRIST JOINT                                                                                                                         </t>
  </si>
  <si>
    <t xml:space="preserve">REINFORCE RADIUS                                                                                                                                </t>
  </si>
  <si>
    <t xml:space="preserve">REINFORCE ULNA                                                                                                                                  </t>
  </si>
  <si>
    <t xml:space="preserve">REINFORCE RADIUS AND ULNA                                                                                                                       </t>
  </si>
  <si>
    <t xml:space="preserve">TREAT FRACTURE OF RADIUS                                                                                                                        </t>
  </si>
  <si>
    <t xml:space="preserve">TREAT FRACTURE OF ULNA                                                                                                                          </t>
  </si>
  <si>
    <t xml:space="preserve">TREAT FRACTURE RADIUS &amp; ULNA                                                                                                                    </t>
  </si>
  <si>
    <t xml:space="preserve">TREAT FRACTURE RADIUS/ULNA                                                                                                                      </t>
  </si>
  <si>
    <t xml:space="preserve">TREAT FX DISTAL RADIAL                                                                                                                          </t>
  </si>
  <si>
    <t xml:space="preserve">TREAT FX RAD EXTRA-ARTICUL                                                                                                                      </t>
  </si>
  <si>
    <t xml:space="preserve">TREAT FX RAD INTRA-ARTICUL                                                                                                                      </t>
  </si>
  <si>
    <t xml:space="preserve">TREAT FX RADIAL 3+ FRAG                                                                                                                         </t>
  </si>
  <si>
    <t xml:space="preserve">TREAT WRIST BONE FRACTURE                                                                                                                       </t>
  </si>
  <si>
    <t xml:space="preserve">TREAT WRIST DISLOCATION                                                                                                                         </t>
  </si>
  <si>
    <t xml:space="preserve">PIN RADIOULNAR DISLOCATION                                                                                                                      </t>
  </si>
  <si>
    <t xml:space="preserve">TREAT WRIST FRACTURE                                                                                                                            </t>
  </si>
  <si>
    <t xml:space="preserve">FUSION OF WRIST JOINT                                                                                                                           </t>
  </si>
  <si>
    <t xml:space="preserve">FUSION/GRAFT OF WRIST JOINT                                                                                                                     </t>
  </si>
  <si>
    <t xml:space="preserve">FUSION OF HAND BONES                                                                                                                            </t>
  </si>
  <si>
    <t xml:space="preserve">FUSE HAND BONES WITH GRAFT                                                                                                                      </t>
  </si>
  <si>
    <t xml:space="preserve">FUSION, RADIOULNAR JNT/ULNA                                                                                                                     </t>
  </si>
  <si>
    <t xml:space="preserve">AMPUTATE HAND AT WRIST                                                                                                                          </t>
  </si>
  <si>
    <t xml:space="preserve">DRAINAGE OF FINGER ABSCESS                                                                                                                      </t>
  </si>
  <si>
    <t xml:space="preserve">DRAIN HAND TENDON SHEATH                                                                                                                        </t>
  </si>
  <si>
    <t xml:space="preserve">DRAINAGE OF PALM BURSA                                                                                                                          </t>
  </si>
  <si>
    <t xml:space="preserve">DRAINAGE OF PALM BURSA(S)                                                                                                                       </t>
  </si>
  <si>
    <t xml:space="preserve">TREAT HAND BONE LESION                                                                                                                          </t>
  </si>
  <si>
    <t xml:space="preserve">RELEASE PALM CONTRACTURE                                                                                                                        </t>
  </si>
  <si>
    <t xml:space="preserve">INCISE FINGER TENDON SHEATH                                                                                                                     </t>
  </si>
  <si>
    <t xml:space="preserve">INCISION OF FINGER TENDON                                                                                                                       </t>
  </si>
  <si>
    <t xml:space="preserve">EXPLORE/TREAT HAND JOINT                                                                                                                        </t>
  </si>
  <si>
    <t xml:space="preserve">EXPLORE/TREAT FINGER JOINT                                                                                                                      </t>
  </si>
  <si>
    <t xml:space="preserve">BIOPSY HAND JOINT LINING                                                                                                                        </t>
  </si>
  <si>
    <t xml:space="preserve">BIOPSY FINGER JOINT LINING                                                                                                                      </t>
  </si>
  <si>
    <t xml:space="preserve">EXC,TUMOR,HAND/FINGER, SUBQ; 1.5 CM OR&gt;                                                                                                         </t>
  </si>
  <si>
    <t xml:space="preserve">EXC,TUMR,HAND/FING,SUBFASC;1.5 CM OR&gt;                                                                                                           </t>
  </si>
  <si>
    <t xml:space="preserve">REMOVAL HAND LESION SUBCUT                                                                                                                      </t>
  </si>
  <si>
    <t xml:space="preserve">REMOVAL HAND LESION, DEEP                                                                                                                       </t>
  </si>
  <si>
    <t xml:space="preserve">REMOVE TUMOR, HAND/FINGER                                                                                                                       </t>
  </si>
  <si>
    <t xml:space="preserve">RAD RESECT TUMOR HAND/FINGER;3 CM OR &gt;                                                                                                          </t>
  </si>
  <si>
    <t xml:space="preserve">REVISE FINGER JOINT, EACH                                                                                                                       </t>
  </si>
  <si>
    <t xml:space="preserve">TENDON EXCISION, PALM/FINGER                                                                                                                    </t>
  </si>
  <si>
    <t xml:space="preserve">REMOVE TENDON SHEATH LESION                                                                                                                     </t>
  </si>
  <si>
    <t xml:space="preserve">REMOVAL OF PALM TENDON, EACH                                                                                                                    </t>
  </si>
  <si>
    <t xml:space="preserve">REMOVAL OF FINGER TENDON                                                                                                                        </t>
  </si>
  <si>
    <t xml:space="preserve">REMOVE FINGER BONE                                                                                                                              </t>
  </si>
  <si>
    <t xml:space="preserve">REMOVE HAND BONE LESION                                                                                                                         </t>
  </si>
  <si>
    <t xml:space="preserve">REMOVAL OF FINGER LESION                                                                                                                        </t>
  </si>
  <si>
    <t xml:space="preserve">REMOVE/GRAFT FINGER LESION                                                                                                                      </t>
  </si>
  <si>
    <t xml:space="preserve">PARTIAL REMOVAL OF HAND BONE                                                                                                                    </t>
  </si>
  <si>
    <t xml:space="preserve">PARTIAL REMOVAL, FINGER BONE                                                                                                                    </t>
  </si>
  <si>
    <t xml:space="preserve">EXTENSIVE HAND SURGERY                                                                                                                          </t>
  </si>
  <si>
    <t xml:space="preserve">EXTENSIVE FINGER SURGERY                                                                                                                        </t>
  </si>
  <si>
    <t xml:space="preserve">PARTIAL REMOVAL OF FINGER                                                                                                                       </t>
  </si>
  <si>
    <t xml:space="preserve">REMOVAL OF IMPLANT FROM HAND                                                                                                                    </t>
  </si>
  <si>
    <t xml:space="preserve">REPAIR FINGER/HAND TENDON                                                                                                                       </t>
  </si>
  <si>
    <t xml:space="preserve">REPAIR/GRAFT HAND TENDON                                                                                                                        </t>
  </si>
  <si>
    <t xml:space="preserve">REVISE HAND/FINGER TENDON                                                                                                                       </t>
  </si>
  <si>
    <t xml:space="preserve">REPAIR HAND TENDON                                                                                                                              </t>
  </si>
  <si>
    <t xml:space="preserve">EXCISION, HAND/FINGER TENDON                                                                                                                    </t>
  </si>
  <si>
    <t xml:space="preserve">GRAFT HAND OR FINGER TENDON                                                                                                                     </t>
  </si>
  <si>
    <t xml:space="preserve">REPAIR FINGER TENDON                                                                                                                            </t>
  </si>
  <si>
    <t xml:space="preserve">REPAIR/GRAFT FINGER TENDON                                                                                                                      </t>
  </si>
  <si>
    <t xml:space="preserve">REALIGNMENT OF TENDONS                                                                                                                          </t>
  </si>
  <si>
    <t xml:space="preserve">RELEASE PALM/FINGER TENDON                                                                                                                      </t>
  </si>
  <si>
    <t xml:space="preserve">RELEASE PALM &amp; FINGER TENDON                                                                                                                    </t>
  </si>
  <si>
    <t xml:space="preserve">RELEASE HAND/FINGER TENDON                                                                                                                      </t>
  </si>
  <si>
    <t xml:space="preserve">RELEASE FOREARM/HAND TENDON                                                                                                                     </t>
  </si>
  <si>
    <t xml:space="preserve">INCISION OF PALM TENDON                                                                                                                         </t>
  </si>
  <si>
    <t xml:space="preserve">INCISE HAND/FINGER TENDON                                                                                                                       </t>
  </si>
  <si>
    <t xml:space="preserve">FUSION OF FINGER TENDONS                                                                                                                        </t>
  </si>
  <si>
    <t xml:space="preserve">TENDON LENGTHENING                                                                                                                              </t>
  </si>
  <si>
    <t xml:space="preserve">TENDON SHORTENING                                                                                                                               </t>
  </si>
  <si>
    <t xml:space="preserve">LENGTHENING OF HAND TENDON                                                                                                                      </t>
  </si>
  <si>
    <t xml:space="preserve">SHORTENING OF HAND TENDON                                                                                                                       </t>
  </si>
  <si>
    <t xml:space="preserve">TRANSPLANT HAND TENDON                                                                                                                          </t>
  </si>
  <si>
    <t xml:space="preserve">TRANSPLANT/GRAFT HAND TENDON                                                                                                                    </t>
  </si>
  <si>
    <t xml:space="preserve">TRANSPLANT PALM TENDON                                                                                                                          </t>
  </si>
  <si>
    <t xml:space="preserve">TRANSPLANT/GRAFT PALM TENDON                                                                                                                    </t>
  </si>
  <si>
    <t xml:space="preserve">REVISE THUMB TENDON                                                                                                                             </t>
  </si>
  <si>
    <t xml:space="preserve">TENDON TRANSFER WITH GRAFT                                                                                                                      </t>
  </si>
  <si>
    <t xml:space="preserve">HAND TENDON/MUSCLE TRANSFER                                                                                                                     </t>
  </si>
  <si>
    <t xml:space="preserve">FINGER TENDON TRANSFER                                                                                                                          </t>
  </si>
  <si>
    <t xml:space="preserve">REVISION OF FINGER                                                                                                                              </t>
  </si>
  <si>
    <t xml:space="preserve">HAND TENDON RECONSTRUCTION                                                                                                                      </t>
  </si>
  <si>
    <t xml:space="preserve">RELEASE THUMB CONTRACTURE                                                                                                                       </t>
  </si>
  <si>
    <t xml:space="preserve">THUMB TENDON TRANSFER                                                                                                                           </t>
  </si>
  <si>
    <t xml:space="preserve">FUSION OF KNUCKLE JOINT                                                                                                                         </t>
  </si>
  <si>
    <t xml:space="preserve">FUSION OF KNUCKLE JOINTS                                                                                                                        </t>
  </si>
  <si>
    <t xml:space="preserve">RELEASE KNUCKLE CONTRACTURE                                                                                                                     </t>
  </si>
  <si>
    <t xml:space="preserve">RELEASE FINGER CONTRACTURE                                                                                                                      </t>
  </si>
  <si>
    <t xml:space="preserve">REVISE KNUCKLE JOINT                                                                                                                            </t>
  </si>
  <si>
    <t xml:space="preserve">REVISE KNUCKLE WITH IMPLANT                                                                                                                     </t>
  </si>
  <si>
    <t xml:space="preserve">REVISE FINGER JOINT                                                                                                                             </t>
  </si>
  <si>
    <t xml:space="preserve">REVISE/IMPLANT FINGER JOINT                                                                                                                     </t>
  </si>
  <si>
    <t xml:space="preserve">REPAIR HAND JOINT                                                                                                                               </t>
  </si>
  <si>
    <t xml:space="preserve">REPAIR HAND JOINT WITH GRAFT                                                                                                                    </t>
  </si>
  <si>
    <t xml:space="preserve">RECONSTRUCT FINGER JOINT                                                                                                                        </t>
  </si>
  <si>
    <t xml:space="preserve">REPAIR NONUNION HAND                                                                                                                            </t>
  </si>
  <si>
    <t xml:space="preserve">CONSTRUCT THUMB REPLACEMENT                                                                                                                     </t>
  </si>
  <si>
    <t xml:space="preserve">POSITIONAL CHANGE OF FINGER                                                                                                                     </t>
  </si>
  <si>
    <t xml:space="preserve">REPAIR OF WEB FINGER                                                                                                                            </t>
  </si>
  <si>
    <t xml:space="preserve">CORRECT METACARPAL FLAW                                                                                                                         </t>
  </si>
  <si>
    <t xml:space="preserve">CORRECT FINGER DEFORMITY                                                                                                                        </t>
  </si>
  <si>
    <t xml:space="preserve">LENGTHEN METACARPAL/FINGER                                                                                                                      </t>
  </si>
  <si>
    <t xml:space="preserve">REPAIR HAND DEFORMITY                                                                                                                           </t>
  </si>
  <si>
    <t xml:space="preserve">RECONSTRUCT EXTRA FINGER                                                                                                                        </t>
  </si>
  <si>
    <t xml:space="preserve">REPAIR FINGER DEFORMITY                                                                                                                         </t>
  </si>
  <si>
    <t xml:space="preserve">REPAIR MUSCLES OF HAND                                                                                                                          </t>
  </si>
  <si>
    <t xml:space="preserve">RELEASE MUSCLES OF HAND                                                                                                                         </t>
  </si>
  <si>
    <t xml:space="preserve">EXCISION CONSTRICTING TISSUE                                                                                                                    </t>
  </si>
  <si>
    <t xml:space="preserve">TREAT METACARPAL FRACTURE                                                                                                                       </t>
  </si>
  <si>
    <t xml:space="preserve">TREAT THUMB FRACTURE                                                                                                                            </t>
  </si>
  <si>
    <t xml:space="preserve">TREAT HAND DISLOCATION                                                                                                                          </t>
  </si>
  <si>
    <t xml:space="preserve">PIN HAND DISLOCATION                                                                                                                            </t>
  </si>
  <si>
    <t xml:space="preserve">TREAT KNUCKLE DISLOCATION                                                                                                                       </t>
  </si>
  <si>
    <t xml:space="preserve">PIN KNUCKLE DISLOCATION                                                                                                                         </t>
  </si>
  <si>
    <t xml:space="preserve">TREAT FINGER FRACTURE, EACH                                                                                                                     </t>
  </si>
  <si>
    <t xml:space="preserve">PIN FINGER FRACTURE, EACH                                                                                                                       </t>
  </si>
  <si>
    <t xml:space="preserve">PIN FINGER DISLOCATION                                                                                                                          </t>
  </si>
  <si>
    <t xml:space="preserve">TREAT FINGER DISLOCATION                                                                                                                        </t>
  </si>
  <si>
    <t xml:space="preserve">THUMB FUSION WITH GRAFT                                                                                                                         </t>
  </si>
  <si>
    <t xml:space="preserve">FUSION OF THUMB                                                                                                                                 </t>
  </si>
  <si>
    <t xml:space="preserve">FUSION OF HAND JOINT                                                                                                                            </t>
  </si>
  <si>
    <t xml:space="preserve">FUSION/GRAFT OF HAND JOINT                                                                                                                      </t>
  </si>
  <si>
    <t xml:space="preserve">FUSION OF KNUCKLE                                                                                                                               </t>
  </si>
  <si>
    <t xml:space="preserve">FUSION OF KNUCKLE WITH GRAFT                                                                                                                    </t>
  </si>
  <si>
    <t xml:space="preserve">FUSION OF FINGER JOINT                                                                                                                          </t>
  </si>
  <si>
    <t xml:space="preserve">FUSION OF FINGER JNT, ADD-ON                                                                                                                    </t>
  </si>
  <si>
    <t xml:space="preserve">FUSION/GRAFT OF FINGER JOINT                                                                                                                    </t>
  </si>
  <si>
    <t xml:space="preserve">FUSE/GRAFT ADDED JOINT                                                                                                                          </t>
  </si>
  <si>
    <t xml:space="preserve">AMPUTATE METACARPAL BONE                                                                                                                        </t>
  </si>
  <si>
    <t xml:space="preserve">AMPUTATION OF FINGER/THUMB                                                                                                                      </t>
  </si>
  <si>
    <t xml:space="preserve">DRAINAGE OF PELVIS LESION                                                                                                                       </t>
  </si>
  <si>
    <t xml:space="preserve">DRAINAGE OF PELVIS BURSA                                                                                                                        </t>
  </si>
  <si>
    <t xml:space="preserve">INCISION OF HIP TENDON                                                                                                                          </t>
  </si>
  <si>
    <t xml:space="preserve">EXPLORATION OF HIP JOINT                                                                                                                        </t>
  </si>
  <si>
    <t xml:space="preserve">DENERVATION OF HIP JOINT                                                                                                                        </t>
  </si>
  <si>
    <t xml:space="preserve">BIOPSY OF SOFT TISSUES                                                                                                                          </t>
  </si>
  <si>
    <t xml:space="preserve">BX, SFT TISS OF PELV&amp;HIP AREA; 3 CM OR&gt;                                                                                                         </t>
  </si>
  <si>
    <t xml:space="preserve">BX SFT TISS OF PELV&amp;HIP AREA; 5 CM OR &gt;                                                                                                         </t>
  </si>
  <si>
    <t xml:space="preserve">REMOVE HIP/PELVIS LESION                                                                                                                        </t>
  </si>
  <si>
    <t xml:space="preserve">REMOVE TUMOR, HIP/PELVIS                                                                                                                        </t>
  </si>
  <si>
    <t xml:space="preserve">BIOPSY OF SACROILIAC JOINT                                                                                                                      </t>
  </si>
  <si>
    <t xml:space="preserve">BIOPSY OF HIP JOINT                                                                                                                             </t>
  </si>
  <si>
    <t xml:space="preserve">FASCIOTOMY, PELV(BUTTOCK),UNILAT 5 CM/&gt;                                                                                                         </t>
  </si>
  <si>
    <t xml:space="preserve">REMOVAL OF ISCHIAL BURSA                                                                                                                        </t>
  </si>
  <si>
    <t xml:space="preserve">REMOVE FEMUR LESION/BURSA                                                                                                                       </t>
  </si>
  <si>
    <t xml:space="preserve">REMOVAL OF HIP BONE LESION                                                                                                                      </t>
  </si>
  <si>
    <t xml:space="preserve">REMOVE/GRAFT HIP BONE LESION                                                                                                                    </t>
  </si>
  <si>
    <t xml:space="preserve">REMOVAL OF TAIL BONE                                                                                                                            </t>
  </si>
  <si>
    <t xml:space="preserve">REMOVE HIP FOREIGN BODY                                                                                                                         </t>
  </si>
  <si>
    <t xml:space="preserve">REVISION OF HIP TENDON                                                                                                                          </t>
  </si>
  <si>
    <t xml:space="preserve">TRANSFER TENDON TO PELVIS                                                                                                                       </t>
  </si>
  <si>
    <t xml:space="preserve">TRANSFER OF ABDOMINAL MUSCLE                                                                                                                    </t>
  </si>
  <si>
    <t xml:space="preserve">TRANSFER OF SPINAL MUSCLE                                                                                                                       </t>
  </si>
  <si>
    <t xml:space="preserve">TRANSFER OF ILIOPSOAS MUSCLE                                                                                                                    </t>
  </si>
  <si>
    <t xml:space="preserve">CLOSED TREATMENT OF FRACTURE OR DISLOCATION                                                                                                     </t>
  </si>
  <si>
    <t xml:space="preserve">TREAT TAIL BONE FRACTURE                                                                                                                        </t>
  </si>
  <si>
    <t xml:space="preserve">TREAT THIGH FRACTURE                                                                                                                            </t>
  </si>
  <si>
    <t xml:space="preserve">TREAT HIP DISLOCATION                                                                                                                           </t>
  </si>
  <si>
    <t xml:space="preserve">MANIPULATION OF HIP JOINT                                                                                                                       </t>
  </si>
  <si>
    <t xml:space="preserve">DRAIN THIGH/KNEE LESION                                                                                                                         </t>
  </si>
  <si>
    <t xml:space="preserve">INCISE THIGH TENDON &amp; FASCIA                                                                                                                    </t>
  </si>
  <si>
    <t xml:space="preserve">INCISION OF THIGH TENDON                                                                                                                        </t>
  </si>
  <si>
    <t xml:space="preserve">INCISION OF THIGH TENDONS                                                                                                                       </t>
  </si>
  <si>
    <t xml:space="preserve">EXPLORATION OF KNEE JOINT                                                                                                                       </t>
  </si>
  <si>
    <t xml:space="preserve">BIOPSY, THIGH SOFT TISSUES                                                                                                                      </t>
  </si>
  <si>
    <t xml:space="preserve">NEURECTOMY, HAMSTRING                                                                                                                           </t>
  </si>
  <si>
    <t xml:space="preserve">NEURECTOMY, POPLITEAL                                                                                                                           </t>
  </si>
  <si>
    <t xml:space="preserve">REMOVAL OF THIGH LESION                                                                                                                         </t>
  </si>
  <si>
    <t xml:space="preserve">REMOVE TUMOR, THIGH/KNEE                                                                                                                        </t>
  </si>
  <si>
    <t xml:space="preserve">BIOPSY, KNEE JOINT LINING                                                                                                                       </t>
  </si>
  <si>
    <t xml:space="preserve">EXPLORE/TREAT KNEE JOINT                                                                                                                        </t>
  </si>
  <si>
    <t xml:space="preserve">REMOVAL OF KNEE CARTILAGE                                                                                                                       </t>
  </si>
  <si>
    <t xml:space="preserve">REMOVE KNEE JOINT LINING                                                                                                                        </t>
  </si>
  <si>
    <t xml:space="preserve">ARTHROTOM,W/SYNOVECT, KNEE;5 CM OR&gt;                                                                                                             </t>
  </si>
  <si>
    <t xml:space="preserve">REMOVAL OF KNEECAP BURSA                                                                                                                        </t>
  </si>
  <si>
    <t xml:space="preserve">REMOVAL OF KNEE CYST                                                                                                                            </t>
  </si>
  <si>
    <t xml:space="preserve">REMOVE KNEE CYST                                                                                                                                </t>
  </si>
  <si>
    <t xml:space="preserve">REMOVAL OF KNEECAP                                                                                                                              </t>
  </si>
  <si>
    <t xml:space="preserve">REMOVE FEMUR LESION                                                                                                                             </t>
  </si>
  <si>
    <t xml:space="preserve">REMOVE FEMUR LESION/GRAFT                                                                                                                       </t>
  </si>
  <si>
    <t xml:space="preserve">REMOVE FEMUR LESION/FIXATION                                                                                                                    </t>
  </si>
  <si>
    <t xml:space="preserve">PARTIAL REMOVAL, LEG BONE(S)                                                                                                                    </t>
  </si>
  <si>
    <t xml:space="preserve">PART EXC BONE, FEMR,TIBIA/FIB; 5 CM/&gt;                                                                                                           </t>
  </si>
  <si>
    <t xml:space="preserve">REPAIR OF KNEECAP TENDON                                                                                                                        </t>
  </si>
  <si>
    <t xml:space="preserve">REPAIR/GRAFT KNEECAP TENDON                                                                                                                     </t>
  </si>
  <si>
    <t xml:space="preserve">REPAIR OF THIGH MUSCLE                                                                                                                          </t>
  </si>
  <si>
    <t xml:space="preserve">REPAIR/GRAFT OF THIGH MUSCLE                                                                                                                    </t>
  </si>
  <si>
    <t xml:space="preserve">LENGTHENING OF THIGH TENDON                                                                                                                     </t>
  </si>
  <si>
    <t xml:space="preserve">LENGTHENING OF THIGH TENDONS                                                                                                                    </t>
  </si>
  <si>
    <t xml:space="preserve">TRANSPLANT OF THIGH TENDON                                                                                                                      </t>
  </si>
  <si>
    <t xml:space="preserve">TRANSPLANTS OF THIGH TENDONS                                                                                                                    </t>
  </si>
  <si>
    <t xml:space="preserve">REVISE THIGH MUSCLES/TENDONS                                                                                                                    </t>
  </si>
  <si>
    <t xml:space="preserve">REPAIR OF KNEE CARTILAGE                                                                                                                        </t>
  </si>
  <si>
    <t xml:space="preserve">REPAIR OF KNEE LIGAMENT                                                                                                                         </t>
  </si>
  <si>
    <t xml:space="preserve">REPAIR OF KNEE LIGAMENTS                                                                                                                        </t>
  </si>
  <si>
    <t xml:space="preserve">REPAIR DEGENERATED KNEECAP                                                                                                                      </t>
  </si>
  <si>
    <t xml:space="preserve">REVISION OF UNSTABLE KNEECAP                                                                                                                    </t>
  </si>
  <si>
    <t xml:space="preserve">REVISION/REMOVAL OF KNEECAP                                                                                                                     </t>
  </si>
  <si>
    <t xml:space="preserve">LAT RETINACULAR RELEASE OPEN                                                                                                                    </t>
  </si>
  <si>
    <t xml:space="preserve">RECONSTRUCTION, KNEE                                                                                                                            </t>
  </si>
  <si>
    <t xml:space="preserve">REVISION OF THIGH MUSCLES                                                                                                                       </t>
  </si>
  <si>
    <t xml:space="preserve">INCISION OF KNEE JOINT                                                                                                                          </t>
  </si>
  <si>
    <t xml:space="preserve">REVISE KNEECAP                                                                                                                                  </t>
  </si>
  <si>
    <t xml:space="preserve">REVISE KNEECAP WITH IMPLANT                                                                                                                     </t>
  </si>
  <si>
    <t xml:space="preserve">REVISION OF KNEE JOINT                                                                                                                          </t>
  </si>
  <si>
    <t xml:space="preserve">DECOMPRESSION OF THIGH/KNEE                                                                                                                     </t>
  </si>
  <si>
    <t xml:space="preserve">TREATMENT OF THIGH FRACTURE                                                                                                                     </t>
  </si>
  <si>
    <t xml:space="preserve">TREAT THIGH FX GROWTH PLATE                                                                                                                     </t>
  </si>
  <si>
    <t xml:space="preserve">TREAT KNEECAP FRACTURE                                                                                                                          </t>
  </si>
  <si>
    <t xml:space="preserve">TREAT KNEE FRACTURE                                                                                                                             </t>
  </si>
  <si>
    <t xml:space="preserve">TREAT KNEE FRACTURE(S)                                                                                                                          </t>
  </si>
  <si>
    <t xml:space="preserve">TREAT KNEE DISLOCATION                                                                                                                          </t>
  </si>
  <si>
    <t xml:space="preserve">TREAT KNEECAP DISLOCATION                                                                                                                       </t>
  </si>
  <si>
    <t xml:space="preserve">FIXATION OF KNEE JOINT                                                                                                                          </t>
  </si>
  <si>
    <t xml:space="preserve">DECOMPRESSION OF LOWER LEG                                                                                                                      </t>
  </si>
  <si>
    <t xml:space="preserve">DRAIN LOWER LEG LESION                                                                                                                          </t>
  </si>
  <si>
    <t xml:space="preserve">DRAIN LOWER LEG BURSA                                                                                                                           </t>
  </si>
  <si>
    <t xml:space="preserve">INCISION OF ACHILLES TENDON                                                                                                                     </t>
  </si>
  <si>
    <t xml:space="preserve">TREAT LOWER LEG BONE LESION                                                                                                                     </t>
  </si>
  <si>
    <t xml:space="preserve">EXPLORE/TREAT ANKLE JOINT                                                                                                                       </t>
  </si>
  <si>
    <t xml:space="preserve">EXPLORATION OF ANKLE JOINT                                                                                                                      </t>
  </si>
  <si>
    <t xml:space="preserve">BIOPSY LOWER LEG SOFT TISSUE                                                                                                                    </t>
  </si>
  <si>
    <t xml:space="preserve">REMOVE TUMOR, LOWER LEG                                                                                                                         </t>
  </si>
  <si>
    <t xml:space="preserve">RAD RESECT TUMOR LEG/ANKLE 5CM OR &gt;                                                                                                             </t>
  </si>
  <si>
    <t xml:space="preserve">REMOVE LOWER LEG LESION                                                                                                                         </t>
  </si>
  <si>
    <t xml:space="preserve">REMOVE ANKLE JOINT LINING                                                                                                                       </t>
  </si>
  <si>
    <t xml:space="preserve">REMOVAL OF TENDON LESION                                                                                                                        </t>
  </si>
  <si>
    <t xml:space="preserve">EXCISION LESION LEG/ANKLE 3 CM OR &gt;                                                                                                             </t>
  </si>
  <si>
    <t xml:space="preserve">EXCISION LESION LEG/ANKLE 5 CM OR &gt;                                                                                                             </t>
  </si>
  <si>
    <t xml:space="preserve">REMOVE LOWER LEG BONE LESION                                                                                                                    </t>
  </si>
  <si>
    <t xml:space="preserve">REMOVE/GRAFT LEG BONE LESION                                                                                                                    </t>
  </si>
  <si>
    <t xml:space="preserve">PARTIAL REMOVAL OF TIBIA                                                                                                                        </t>
  </si>
  <si>
    <t xml:space="preserve">PARTIAL REMOVAL OF FIBULA                                                                                                                       </t>
  </si>
  <si>
    <t xml:space="preserve">EXTENSIVE ANKLE/HEEL SURGERY                                                                                                                    </t>
  </si>
  <si>
    <t xml:space="preserve">REPAIR ACHILLES TENDON                                                                                                                          </t>
  </si>
  <si>
    <t xml:space="preserve">REPAIR/GRAFT ACHILLES TENDON                                                                                                                    </t>
  </si>
  <si>
    <t xml:space="preserve">REPAIR OF ACHILLES TENDON                                                                                                                       </t>
  </si>
  <si>
    <t xml:space="preserve">REPAIR LEG FASCIA DEFECT                                                                                                                        </t>
  </si>
  <si>
    <t xml:space="preserve">REPAIR OF LEG TENDON, EACH                                                                                                                      </t>
  </si>
  <si>
    <t xml:space="preserve">REPAIR LOWER LEG TENDONS                                                                                                                        </t>
  </si>
  <si>
    <t xml:space="preserve">RELEASE OF LOWER LEG TENDON                                                                                                                     </t>
  </si>
  <si>
    <t xml:space="preserve">RELEASE OF LOWER LEG TENDONS                                                                                                                    </t>
  </si>
  <si>
    <t xml:space="preserve">REVISION OF LOWER LEG TENDON                                                                                                                    </t>
  </si>
  <si>
    <t xml:space="preserve">REVISE LOWER LEG TENDONS                                                                                                                        </t>
  </si>
  <si>
    <t xml:space="preserve">REVISION OF CALF TENDON                                                                                                                         </t>
  </si>
  <si>
    <t xml:space="preserve">REVISE LOWER LEG TENDON                                                                                                                         </t>
  </si>
  <si>
    <t xml:space="preserve">REVISE ADDITIONAL LEG TENDON                                                                                                                    </t>
  </si>
  <si>
    <t xml:space="preserve">REPAIR OF ANKLE LIGAMENT                                                                                                                        </t>
  </si>
  <si>
    <t xml:space="preserve">REPAIR OF ANKLE LIGAMENTS                                                                                                                       </t>
  </si>
  <si>
    <t xml:space="preserve">REVISION OF ANKLE JOINT                                                                                                                         </t>
  </si>
  <si>
    <t xml:space="preserve">REMOVAL OF ANKLE IMPLANT                                                                                                                        </t>
  </si>
  <si>
    <t xml:space="preserve">INCISION OF TIBIA                                                                                                                               </t>
  </si>
  <si>
    <t xml:space="preserve">INCISION OF FIBULA                                                                                                                              </t>
  </si>
  <si>
    <t xml:space="preserve">INCISION OF TIBIA &amp; FIBULA                                                                                                                      </t>
  </si>
  <si>
    <t xml:space="preserve">REPAIR OF TIBIA EPIPHYSIS                                                                                                                       </t>
  </si>
  <si>
    <t xml:space="preserve">REPAIR OF FIBULA EPIPHYSIS                                                                                                                      </t>
  </si>
  <si>
    <t xml:space="preserve">REPAIR LOWER LEG EPIPHYSES                                                                                                                      </t>
  </si>
  <si>
    <t xml:space="preserve">REPAIR OF LEG EPIPHYSES                                                                                                                         </t>
  </si>
  <si>
    <t xml:space="preserve">REINFORCE TIBIA                                                                                                                                 </t>
  </si>
  <si>
    <t xml:space="preserve">TREATMENT OF TIBIA FRACTURE                                                                                                                     </t>
  </si>
  <si>
    <t xml:space="preserve">TREATMENT OF ANKLE FRACTURE                                                                                                                     </t>
  </si>
  <si>
    <t xml:space="preserve">TREATMENT OF FIBULA FRACTURE                                                                                                                    </t>
  </si>
  <si>
    <t xml:space="preserve">TREAT LOWER LEG FRACTURE                                                                                                                        </t>
  </si>
  <si>
    <t xml:space="preserve">TREAT LOWER LEG JOINT                                                                                                                           </t>
  </si>
  <si>
    <t xml:space="preserve">TREAT LOWER LEG DISLOCATION                                                                                                                     </t>
  </si>
  <si>
    <t xml:space="preserve">TREAT ANKLE DISLOCATION                                                                                                                         </t>
  </si>
  <si>
    <t xml:space="preserve">FIXATION OF ANKLE JOINT                                                                                                                         </t>
  </si>
  <si>
    <t xml:space="preserve">FUSION OF ANKLE JOINT, OPEN                                                                                                                     </t>
  </si>
  <si>
    <t xml:space="preserve">FUSION OF TIBIOFIBULAR JOINT                                                                                                                    </t>
  </si>
  <si>
    <t xml:space="preserve">AMPUTATION OF FOOT AT ANKLE                                                                                                                     </t>
  </si>
  <si>
    <t xml:space="preserve">DECOMPRESSION OF LEG                                                                                                                            </t>
  </si>
  <si>
    <t xml:space="preserve">TREATMENT OF FOOT INFECTION                                                                                                                     </t>
  </si>
  <si>
    <t xml:space="preserve">TREAT FOOT BONE LESION                                                                                                                          </t>
  </si>
  <si>
    <t xml:space="preserve">INCISION OF FOOT FASCIA                                                                                                                         </t>
  </si>
  <si>
    <t xml:space="preserve">INCISION OF TOE TENDONS                                                                                                                         </t>
  </si>
  <si>
    <t xml:space="preserve">EXPLORATION OF FOOT JOINT                                                                                                                       </t>
  </si>
  <si>
    <t xml:space="preserve">EXPLORATION OF TOE JOINT                                                                                                                        </t>
  </si>
  <si>
    <t xml:space="preserve">DECOMPRESSION OF TIBIA NERVE                                                                                                                    </t>
  </si>
  <si>
    <t xml:space="preserve">EXC, TUMOR, FOOT/TOE,SUBFASC, 1.5 CM OR&gt;                                                                                                        </t>
  </si>
  <si>
    <t xml:space="preserve">EXCISION OF FOOT LESION                                                                                                                         </t>
  </si>
  <si>
    <t xml:space="preserve">RESECTION OF TUMOR, FOOT                                                                                                                        </t>
  </si>
  <si>
    <t xml:space="preserve">BIOPSY OF FOOT JOINT LINING                                                                                                                     </t>
  </si>
  <si>
    <t xml:space="preserve">BIOPSY OF TOE JOINT LINING                                                                                                                      </t>
  </si>
  <si>
    <t xml:space="preserve">NEURECTOMY, FOOT                                                                                                                                </t>
  </si>
  <si>
    <t xml:space="preserve">PARTIAL REMOVAL, FOOT FASCIA                                                                                                                    </t>
  </si>
  <si>
    <t xml:space="preserve">REMOVAL OF FOOT FASCIA                                                                                                                          </t>
  </si>
  <si>
    <t xml:space="preserve">REMOVAL OF FOOT JOINT LINING                                                                                                                    </t>
  </si>
  <si>
    <t xml:space="preserve">REMOVAL OF FOOT LESION                                                                                                                          </t>
  </si>
  <si>
    <t xml:space="preserve">EXCISE FOOT TENDON SHEATH                                                                                                                       </t>
  </si>
  <si>
    <t xml:space="preserve">REMOVAL OF TOE LESIONS                                                                                                                          </t>
  </si>
  <si>
    <t xml:space="preserve">REMOVAL OF ANKLE/HEEL LESION                                                                                                                    </t>
  </si>
  <si>
    <t xml:space="preserve">REMOVE/GRAFT FOOT LESION                                                                                                                        </t>
  </si>
  <si>
    <t xml:space="preserve">PART REMOVAL OF METATARSAL                                                                                                                      </t>
  </si>
  <si>
    <t xml:space="preserve">REMOVAL OF METATARSAL HEADS                                                                                                                     </t>
  </si>
  <si>
    <t xml:space="preserve">REVISION OF FOOT                                                                                                                                </t>
  </si>
  <si>
    <t xml:space="preserve">REMOVAL OF HEEL BONE                                                                                                                            </t>
  </si>
  <si>
    <t xml:space="preserve">REMOVAL OF HEEL SPUR                                                                                                                            </t>
  </si>
  <si>
    <t xml:space="preserve">PART REMOVAL OF ANKLE/HEEL                                                                                                                      </t>
  </si>
  <si>
    <t xml:space="preserve">PARTIAL REMOVAL OF FOOT BONE                                                                                                                    </t>
  </si>
  <si>
    <t xml:space="preserve">PARTIAL REMOVAL OF TOE                                                                                                                          </t>
  </si>
  <si>
    <t xml:space="preserve">REMOVAL OF ANKLE BONE                                                                                                                           </t>
  </si>
  <si>
    <t xml:space="preserve">REMOVAL OF METATARSAL                                                                                                                           </t>
  </si>
  <si>
    <t xml:space="preserve">REMOVAL OF TOE                                                                                                                                  </t>
  </si>
  <si>
    <t xml:space="preserve">EXTENSIVE FOOT SURGERY                                                                                                                          </t>
  </si>
  <si>
    <t xml:space="preserve">REMOVAL OF FOOT FOREIGN BODY                                                                                                                    </t>
  </si>
  <si>
    <t xml:space="preserve">REPAIR OF FOOT TENDON                                                                                                                           </t>
  </si>
  <si>
    <t xml:space="preserve">REPAIR/GRAFT OF FOOT TENDON                                                                                                                     </t>
  </si>
  <si>
    <t xml:space="preserve">RELEASE OF FOOT TENDONS                                                                                                                         </t>
  </si>
  <si>
    <t xml:space="preserve">RELEASE OF FOOT TENDON                                                                                                                          </t>
  </si>
  <si>
    <t xml:space="preserve">INCISION OF FOOT TENDON                                                                                                                         </t>
  </si>
  <si>
    <t xml:space="preserve">REVISION OF FOOT TENDON                                                                                                                         </t>
  </si>
  <si>
    <t xml:space="preserve">RELEASE OF BIG TOE                                                                                                                              </t>
  </si>
  <si>
    <t xml:space="preserve">REVISION OF FOOT FASCIA                                                                                                                         </t>
  </si>
  <si>
    <t xml:space="preserve">RELEASE OF MIDFOOT JOINT                                                                                                                        </t>
  </si>
  <si>
    <t xml:space="preserve">REVISION OF FOOT AND ANKLE                                                                                                                      </t>
  </si>
  <si>
    <t xml:space="preserve">RELEASE OF FOOT CONTRACTURE                                                                                                                     </t>
  </si>
  <si>
    <t xml:space="preserve">FUSION OF TOES                                                                                                                                  </t>
  </si>
  <si>
    <t xml:space="preserve">REPAIR OF HAMMERTOE                                                                                                                             </t>
  </si>
  <si>
    <t xml:space="preserve">REPAIR HALLUX RIGIDUS                                                                                                                           </t>
  </si>
  <si>
    <t xml:space="preserve">CORRECTION OF BUNION                                                                                                                            </t>
  </si>
  <si>
    <t xml:space="preserve">INCISION OF HEEL BONE                                                                                                                           </t>
  </si>
  <si>
    <t xml:space="preserve">INCISION OF ANKLE BONE                                                                                                                          </t>
  </si>
  <si>
    <t xml:space="preserve">INCISION OF MIDFOOT BONES                                                                                                                       </t>
  </si>
  <si>
    <t xml:space="preserve">INCISE/GRAFT MIDFOOT BONES                                                                                                                      </t>
  </si>
  <si>
    <t xml:space="preserve">INCISION OF METATARSAL                                                                                                                          </t>
  </si>
  <si>
    <t xml:space="preserve">INCISION OF METATARSALS                                                                                                                         </t>
  </si>
  <si>
    <t xml:space="preserve">REVISION OF BIG TOE                                                                                                                             </t>
  </si>
  <si>
    <t xml:space="preserve">REVISION OF TOE                                                                                                                                 </t>
  </si>
  <si>
    <t xml:space="preserve">REPAIR DEFORMITY OF TOE                                                                                                                         </t>
  </si>
  <si>
    <t xml:space="preserve">REMOVAL OF SESAMOID BONE                                                                                                                        </t>
  </si>
  <si>
    <t xml:space="preserve">REPAIR OF FOOT BONES                                                                                                                            </t>
  </si>
  <si>
    <t xml:space="preserve">REPAIR OF METATARSALS                                                                                                                           </t>
  </si>
  <si>
    <t xml:space="preserve">RESECT ENLARGED TOE TISSUE                                                                                                                      </t>
  </si>
  <si>
    <t xml:space="preserve">RESECT ENLARGED TOE                                                                                                                             </t>
  </si>
  <si>
    <t xml:space="preserve">REPAIR EXTRA TOE(S)                                                                                                                             </t>
  </si>
  <si>
    <t xml:space="preserve">REPAIR WEBBED TOE(S)                                                                                                                            </t>
  </si>
  <si>
    <t xml:space="preserve">TREATMENT OF HEEL FRACTURE                                                                                                                      </t>
  </si>
  <si>
    <t xml:space="preserve">TREAT HEEL FRACTURE                                                                                                                             </t>
  </si>
  <si>
    <t xml:space="preserve">TREAT/GRAFT HEEL FRACTURE                                                                                                                       </t>
  </si>
  <si>
    <t xml:space="preserve">TREAT ANKLE FRACTURE                                                                                                                            </t>
  </si>
  <si>
    <t xml:space="preserve">TREAT MIDFOOT FRACTURE                                                                                                                          </t>
  </si>
  <si>
    <t xml:space="preserve">TREAT MIDFOOT FRACTURE, EACH                                                                                                                    </t>
  </si>
  <si>
    <t xml:space="preserve">TREAT METATARSAL FRACTURE                                                                                                                       </t>
  </si>
  <si>
    <t xml:space="preserve">TREAT BIG TOE FRACTURE                                                                                                                          </t>
  </si>
  <si>
    <t xml:space="preserve">TREAT TOE FRACTURE                                                                                                                              </t>
  </si>
  <si>
    <t xml:space="preserve">TREAT SESAMOID BONE FRACTURE                                                                                                                    </t>
  </si>
  <si>
    <t xml:space="preserve">TREAT FOOT DISLOCATION                                                                                                                          </t>
  </si>
  <si>
    <t xml:space="preserve">REPAIR FOOT DISLOCATION                                                                                                                         </t>
  </si>
  <si>
    <t xml:space="preserve">TREAT TOE DISLOCATION                                                                                                                           </t>
  </si>
  <si>
    <t xml:space="preserve">REPAIR TOE DISLOCATION                                                                                                                          </t>
  </si>
  <si>
    <t xml:space="preserve">REPAIR OF TOE DISLOCATION                                                                                                                       </t>
  </si>
  <si>
    <t xml:space="preserve">FUSION OF FOOT BONES                                                                                                                            </t>
  </si>
  <si>
    <t xml:space="preserve">REVISION OF FOOT BONES                                                                                                                          </t>
  </si>
  <si>
    <t xml:space="preserve">FUSION OF BIG TOE JOINT                                                                                                                         </t>
  </si>
  <si>
    <t xml:space="preserve">AMPUTATION TOE &amp; METATARSAL                                                                                                                     </t>
  </si>
  <si>
    <t xml:space="preserve">AMPUTATION OF TOE                                                                                                                               </t>
  </si>
  <si>
    <t xml:space="preserve">PARTIAL AMPUTATION OF TOE                                                                                                                       </t>
  </si>
  <si>
    <t xml:space="preserve">JAW ARTHROSCOPY/SURGERY                                                                                                                         </t>
  </si>
  <si>
    <t xml:space="preserve">SHOULDER ARTHROSCOPY, DX                                                                                                                        </t>
  </si>
  <si>
    <t xml:space="preserve">SHOULDER ARTHROSCOPY/SURGERY                                                                                                                    </t>
  </si>
  <si>
    <t xml:space="preserve">ARTHROSCOP ROTATOR CUFF REPR                                                                                                                    </t>
  </si>
  <si>
    <t xml:space="preserve">ARTHROSCOPY, SHOULDER, SURGICAL; BICEPS TENODESIS                       </t>
  </si>
  <si>
    <t xml:space="preserve">ELBOW ARTHROSCOPY                                                                                                                               </t>
  </si>
  <si>
    <t xml:space="preserve">ELBOW ARTHROSCOPY/SURGERY                                                                                                                       </t>
  </si>
  <si>
    <t xml:space="preserve">WRIST ARTHROSCOPY                                                                                                                               </t>
  </si>
  <si>
    <t xml:space="preserve">WRIST ARTHROSCOPY/SURGERY                                                                                                                       </t>
  </si>
  <si>
    <t xml:space="preserve">WRIST ENDOSCOPY/SURGERY                                                                                                                         </t>
  </si>
  <si>
    <t xml:space="preserve">KNEE ARTHROSCOPY/SURGERY                                                                                                                        </t>
  </si>
  <si>
    <t xml:space="preserve">TIBIAL ARTHROSCOPY/SURGERY                                                                                                                      </t>
  </si>
  <si>
    <t xml:space="preserve">HIP ARTHROSCOPY, DX                                                                                                                             </t>
  </si>
  <si>
    <t xml:space="preserve">HIP ARTHROSCOPY/SURGERY                                                                                                                         </t>
  </si>
  <si>
    <t xml:space="preserve">KNEE ARTHROSCOPY, DX                                                                                                                            </t>
  </si>
  <si>
    <t xml:space="preserve">KNEE ARTHROSCOPY/DRAINAGE                                                                                                                       </t>
  </si>
  <si>
    <t xml:space="preserve">ANKLE ARTHROSCOPY/SURGERY                                                                                                                       </t>
  </si>
  <si>
    <t xml:space="preserve">SCOPE, PLANTAR FASCIOTOMY                                                                                                                       </t>
  </si>
  <si>
    <t xml:space="preserve">MCP JOINT ARTHROSCOPY, DX                                                                                                                       </t>
  </si>
  <si>
    <t xml:space="preserve">MCP JOINT ARTHROSCOPY, SURG                                                                                                                     </t>
  </si>
  <si>
    <t xml:space="preserve">REMOVAL OF NOSE POLYP(S)                                                                                                                        </t>
  </si>
  <si>
    <t xml:space="preserve">REMOVAL OF INTRANASAL LESION                                                                                                                    </t>
  </si>
  <si>
    <t xml:space="preserve">REVISION OF NOSE                                                                                                                                </t>
  </si>
  <si>
    <t xml:space="preserve">REMOVAL OF NOSE LESION                                                                                                                          </t>
  </si>
  <si>
    <t xml:space="preserve">EXCISE INFERIOR TURBINATE                                                                                                                       </t>
  </si>
  <si>
    <t xml:space="preserve">RESECT INFERIOR TURBINATE                                                                                                                       </t>
  </si>
  <si>
    <t xml:space="preserve">PARTIAL REMOVAL OF NOSE                                                                                                                         </t>
  </si>
  <si>
    <t xml:space="preserve">REMOVAL OF NOSE                                                                                                                                 </t>
  </si>
  <si>
    <t xml:space="preserve">INSERT NASAL SEPTAL BUTTON                                                                                                                      </t>
  </si>
  <si>
    <t xml:space="preserve">REMOVE NASAL FOREIGN BODY                                                                                                                       </t>
  </si>
  <si>
    <t xml:space="preserve">RECONSTRUCTION OF NOSE                                                                                                                          </t>
  </si>
  <si>
    <t xml:space="preserve">REPAIR NASAL STENOSIS                                                                                                                           </t>
  </si>
  <si>
    <t xml:space="preserve">REPAIR OF NASAL SEPTUM                                                                                                                          </t>
  </si>
  <si>
    <t xml:space="preserve">REPAIR NASAL DEFECT                                                                                                                             </t>
  </si>
  <si>
    <t xml:space="preserve">RELEASE OF NASAL ADHESIONS                                                                                                                      </t>
  </si>
  <si>
    <t xml:space="preserve">REPAIR UPPER JAW FISTULA                                                                                                                        </t>
  </si>
  <si>
    <t xml:space="preserve">REPAIR MOUTH/NOSE FISTULA                                                                                                                       </t>
  </si>
  <si>
    <t xml:space="preserve">INTRANASAL RECONSTRUCTION                                                                                                                       </t>
  </si>
  <si>
    <t xml:space="preserve">REPAIR NASAL SEPTUM DEFECT                                                                                                                      </t>
  </si>
  <si>
    <t xml:space="preserve">ABLATE INF TURBINATE, SUPERF                                                                                                                    </t>
  </si>
  <si>
    <t xml:space="preserve">CAUTERIZATION, INNER NOSE                                                                                                                       </t>
  </si>
  <si>
    <t xml:space="preserve">CONTROL OF NOSEBLEED                                                                                                                            </t>
  </si>
  <si>
    <t xml:space="preserve">REPEAT CONTROL OF NOSEBLEED                                                                                                                     </t>
  </si>
  <si>
    <t xml:space="preserve">LIGATION, NASAL SINUS ARTERY                                                                                                                    </t>
  </si>
  <si>
    <t xml:space="preserve">LIGATION, UPPER JAW ARTERY                                                                                                                      </t>
  </si>
  <si>
    <t xml:space="preserve">THER FX, NASAL INF TURBINATE                                                                                                                    </t>
  </si>
  <si>
    <t xml:space="preserve">EXPLORATION, MAXILLARY SINUS                                                                                                                    </t>
  </si>
  <si>
    <t xml:space="preserve">EXPLORE SINUS, REMOVE POLYPS                                                                                                                    </t>
  </si>
  <si>
    <t xml:space="preserve">EXPLORATION, SPHENOID SINUS                                                                                                                     </t>
  </si>
  <si>
    <t xml:space="preserve">SPHENOID SINUS SURGERY                                                                                                                          </t>
  </si>
  <si>
    <t xml:space="preserve">EXPLORATION OF FRONTAL SINUS                                                                                                                    </t>
  </si>
  <si>
    <t xml:space="preserve">REMOVAL OF FRONTAL SINUS                                                                                                                        </t>
  </si>
  <si>
    <t xml:space="preserve">EXPLORATION OF SINUSES                                                                                                                          </t>
  </si>
  <si>
    <t xml:space="preserve">REMOVAL OF ETHMOID SINUS                                                                                                                        </t>
  </si>
  <si>
    <t xml:space="preserve">NASAL/SINUS ENDOSCOPY, DX                                                                                                                       </t>
  </si>
  <si>
    <t xml:space="preserve">NASAL/SINUS ENDOSCOPY, SURG                                                                                                                     </t>
  </si>
  <si>
    <t xml:space="preserve">NASAL ENDOSCOPY W/ETHMOID REMOVAL; TOAL, INCLUDE FRONTAL SINUS EXPLORATION W/REMOVAL OF TISSUE                                                  </t>
  </si>
  <si>
    <t xml:space="preserve">REVISION OF ETHMOID SINUS                                                                                                                       </t>
  </si>
  <si>
    <t xml:space="preserve">EXPLORATION MAXILLARY SINUS                                                                                                                     </t>
  </si>
  <si>
    <t xml:space="preserve">NASAL ENDOSCOPY W/ETHMOID REMOVAL; TOTAL, INCLUDING SPHENOIDOTOMY                                                                               </t>
  </si>
  <si>
    <t xml:space="preserve">NASAL ENDOSCOPY W/ETHMOID REMOVAL; TOTAL, INCLUDE SPHENOIDOTOMY AND TISSUE REMOVAL FROM SPHENOID SINUS                                          </t>
  </si>
  <si>
    <t xml:space="preserve">ENDOSCOPY, MAXILLARY SINUS                                                                                                                      </t>
  </si>
  <si>
    <t xml:space="preserve">SINUS ENDOSCOPY, SURGICAL                                                                                                                       </t>
  </si>
  <si>
    <t xml:space="preserve">REMOVAL OF LARYNX LESION                                                                                                                        </t>
  </si>
  <si>
    <t xml:space="preserve">REVISION OF LARYNX                                                                                                                              </t>
  </si>
  <si>
    <t xml:space="preserve">REMOVAL OF EPIGLOTTIS                                                                                                                           </t>
  </si>
  <si>
    <t xml:space="preserve">LARYNGOSCOPY WITH BIOPSY                                                                                                                        </t>
  </si>
  <si>
    <t xml:space="preserve">REMOVE FOREIGN BODY, LARYNX                                                                                                                     </t>
  </si>
  <si>
    <t xml:space="preserve">INJECTION INTO VOCAL CORD                                                                                                                       </t>
  </si>
  <si>
    <t xml:space="preserve">LARYNGOSCOPY FOR ASPIRATION                                                                                                                     </t>
  </si>
  <si>
    <t xml:space="preserve">DX LARYNGOSCOPY EXCL NB                                                                                                                         </t>
  </si>
  <si>
    <t xml:space="preserve">DX LARYNGOSCOPY W/OPER SCOPE                                                                                                                    </t>
  </si>
  <si>
    <t xml:space="preserve">LARYNGOSCOPY FOR TREATMENT                                                                                                                      </t>
  </si>
  <si>
    <t xml:space="preserve">LARYNGOSCOPY AND DILATION                                                                                                                       </t>
  </si>
  <si>
    <t xml:space="preserve">LARYNGOSCOPY W/FB REMOVAL                                                                                                                       </t>
  </si>
  <si>
    <t xml:space="preserve">LARYNGOSCOPY W/FB &amp; OP SCOPE                                                                                                                    </t>
  </si>
  <si>
    <t xml:space="preserve">LARYNGOSCOPY W/BIOPSY                                                                                                                           </t>
  </si>
  <si>
    <t xml:space="preserve">LARYNGOSCOPY W/BX &amp; OP SCOPE                                                                                                                    </t>
  </si>
  <si>
    <t xml:space="preserve">LARYNGOSCOPY W/EXC OF TUMOR                                                                                                                     </t>
  </si>
  <si>
    <t xml:space="preserve">LARYNSCOP W/TUMR EXC + SCOPE                                                                                                                    </t>
  </si>
  <si>
    <t xml:space="preserve">REMOVE VC LESION W/SCOPE                                                                                                                        </t>
  </si>
  <si>
    <t xml:space="preserve">REMOVE VC LESION SCOPE/GRAFT                                                                                                                    </t>
  </si>
  <si>
    <t xml:space="preserve">REVISION OF LARNYX                                                                                                                              </t>
  </si>
  <si>
    <t xml:space="preserve">LARYNGOSCOP W/ARYTENOIDECTOM                                                                                                                    </t>
  </si>
  <si>
    <t xml:space="preserve">LARYNSCOP, REMVE CART + SCOP                                                                                                                    </t>
  </si>
  <si>
    <t xml:space="preserve">LARYNGOSCOPE W/VC INJ                                                                                                                           </t>
  </si>
  <si>
    <t xml:space="preserve">LARYNGOSCOP W/VC INJ + SCOPE                                                                                                                    </t>
  </si>
  <si>
    <t xml:space="preserve">OPEN REDUCTION OF FRACTURE                                                                                                                      </t>
  </si>
  <si>
    <t xml:space="preserve">REINNERVATE LARYNX                                                                                                                              </t>
  </si>
  <si>
    <t xml:space="preserve">INCISION OF WINDPIPE                                                                                                                            </t>
  </si>
  <si>
    <t xml:space="preserve">SURGERY/SPEECH PROSTHESIS                                                                                                                       </t>
  </si>
  <si>
    <t xml:space="preserve">PUNCTURE/CLEAR WINDPIPE                                                                                                                         </t>
  </si>
  <si>
    <t xml:space="preserve">REPAIR WINDPIPE OPENING                                                                                                                         </t>
  </si>
  <si>
    <t xml:space="preserve">VISUALIZATION OF WINDPIPE                                                                                                                       </t>
  </si>
  <si>
    <t xml:space="preserve">DX BRONCHOSCOPE/WASH                                                                                                                            </t>
  </si>
  <si>
    <t xml:space="preserve">DX BRONCHOSCOPE/BRUSH                                                                                                                           </t>
  </si>
  <si>
    <t xml:space="preserve">DX BRONCHOSCOPE/LAVAGE                                                                                                                          </t>
  </si>
  <si>
    <t xml:space="preserve">BRONCHOSCOPY W/BIOPSY(S)                                                                                                                        </t>
  </si>
  <si>
    <t xml:space="preserve">BRONCHOSCOPY/LUNG BX, EACH                                                                                                                      </t>
  </si>
  <si>
    <t xml:space="preserve">BRONCHOSCOPY/NEEDLE BX, EACH                                                                                                                    </t>
  </si>
  <si>
    <t xml:space="preserve">BRONCHOSCOPY DILATE/FX REPR                                                                                                                     </t>
  </si>
  <si>
    <t xml:space="preserve">BRONCHOSCOPY, DILATE W/STENT                                                                                                                    </t>
  </si>
  <si>
    <t xml:space="preserve">BRONCHOSCOPY W/FB REMOVAL                                                                                                                       </t>
  </si>
  <si>
    <t xml:space="preserve">BRONCHOSCOPY, BRONCH STENTS                                                                                                                     </t>
  </si>
  <si>
    <t xml:space="preserve">BRONCHOSCOPY, STENT ADD-ON                                                                                                                      </t>
  </si>
  <si>
    <t xml:space="preserve">BRONCHOSCOPY, REVISE STENT                                                                                                                      </t>
  </si>
  <si>
    <t xml:space="preserve">BRONCHOSCOPY W/TUMOR EXCISE                                                                                                                     </t>
  </si>
  <si>
    <t xml:space="preserve">BRONCHOSCOPY, TREAT BLOCKAGE                                                                                                                    </t>
  </si>
  <si>
    <t xml:space="preserve">DIAG BRONCHOSCOPE/CATHETER                                                                                                                      </t>
  </si>
  <si>
    <t xml:space="preserve">BRONCHOSCOPY, CLEAR AIRWAYS                                                                                                                     </t>
  </si>
  <si>
    <t xml:space="preserve">BRONCHOSCOPY, RECLEAR AIRWAY                                                                                                                    </t>
  </si>
  <si>
    <t xml:space="preserve">BRONCHIAL BRUSH BIOPSY                                                                                                                          </t>
  </si>
  <si>
    <t xml:space="preserve">CLEARANCE OF AIRWAYS                                                                                                                            </t>
  </si>
  <si>
    <t xml:space="preserve">INTRO, WINDPIPE WIRE/TUBE                                                                                                                       </t>
  </si>
  <si>
    <t xml:space="preserve">REPAIR OF WINDPIPE                                                                                                                              </t>
  </si>
  <si>
    <t xml:space="preserve">CLOSURE OF WINDPIPE LESION                                                                                                                      </t>
  </si>
  <si>
    <t xml:space="preserve">REPAIR OF WINDPIPE DEFECT                                                                                                                       </t>
  </si>
  <si>
    <t xml:space="preserve">REVISE WINDPIPE SCAR                                                                                                                            </t>
  </si>
  <si>
    <t xml:space="preserve">NEEDLE BIOPSY CHEST LINING                                                                                                                      </t>
  </si>
  <si>
    <t xml:space="preserve">INSERTION OF PULSE GENERATOR                                                                                                                    </t>
  </si>
  <si>
    <t xml:space="preserve">REVISE POCKET, PACEMAKER                                                                                                                        </t>
  </si>
  <si>
    <t xml:space="preserve">REVISE POCKET, PACING-DEFIB                                                                                                                     </t>
  </si>
  <si>
    <t xml:space="preserve">REMOVAL OF PACEMAKER SYSTEM                                                                                                                     </t>
  </si>
  <si>
    <t xml:space="preserve">REPAIR BLOOD VESSEL LESION                                                                                                                      </t>
  </si>
  <si>
    <t xml:space="preserve">REMOVAL OF CLOT IN GRAFT                                                                                                                        </t>
  </si>
  <si>
    <t xml:space="preserve">INSERTION OF INFUSION PUMP                                                                                                                      </t>
  </si>
  <si>
    <t xml:space="preserve">REVISION OF INFUSION PUMP                                                                                                                       </t>
  </si>
  <si>
    <t xml:space="preserve">REMOVAL OF INFUSION PUMP                                                                                                                        </t>
  </si>
  <si>
    <t xml:space="preserve">ENDOVENOUS RF, 1ST VEIN                                                                                                                         </t>
  </si>
  <si>
    <t xml:space="preserve">ENDOVENOUS RF, VEIN ADD-ON                                                                                                                      </t>
  </si>
  <si>
    <t xml:space="preserve">ENDOVENOUS LASER, 1ST VEIN                                                                                                                      </t>
  </si>
  <si>
    <t xml:space="preserve">ENDOVENOUS LASER VEIN ADDON                                                                                                                     </t>
  </si>
  <si>
    <t xml:space="preserve">CHEMICAL ABLATION OF INCOMPETENT VEIN, EXTREMITY; REMOTE ACCES SITE; INCLUSIVE OF IMAGING GUIDANCE/MONITORING; FIRST VEIN TREATED               </t>
  </si>
  <si>
    <t xml:space="preserve">SUBSEQUENT VEINS TREATED IN SINGLE EXTREMITY, EACH THROUGH SEPARATE ACCESS SITES                                                                </t>
  </si>
  <si>
    <t xml:space="preserve">INSERT NON-TUNNEL CV CATH                                                                                                                       </t>
  </si>
  <si>
    <t xml:space="preserve">INSERT TUNNELED CV CATH                                                                                                                         </t>
  </si>
  <si>
    <t xml:space="preserve">INSERT PICC CATH                                                                                                                                </t>
  </si>
  <si>
    <t xml:space="preserve">INSERT PICVAD CATH                                                                                                                              </t>
  </si>
  <si>
    <t xml:space="preserve">REPAIR TUNNELED CV CATH                                                                                                                         </t>
  </si>
  <si>
    <t xml:space="preserve">REPLACE TUNNELED CV CATH                                                                                                                        </t>
  </si>
  <si>
    <t xml:space="preserve">REPLACE CVAD CATH                                                                                                                               </t>
  </si>
  <si>
    <t xml:space="preserve">REPLACE PICC CATH                                                                                                                               </t>
  </si>
  <si>
    <t xml:space="preserve">REPLACE PICVAD CATH                                                                                                                             </t>
  </si>
  <si>
    <t xml:space="preserve">REMOVAL TUNNELED CV CATH                                                                                                                        </t>
  </si>
  <si>
    <t xml:space="preserve">INSERTION CATHETER, ARTERY                                                                                                                      </t>
  </si>
  <si>
    <t xml:space="preserve">INSERTION OF CANNULA                                                                                                                            </t>
  </si>
  <si>
    <t xml:space="preserve">AV FUSE, UPPR ARM, CEPHALIC                                                                                                                     </t>
  </si>
  <si>
    <t xml:space="preserve">AV FUSE, UPPR ARM, BASILIC                                                                                                                      </t>
  </si>
  <si>
    <t xml:space="preserve">AV FUSION/FOREARM VEIN                                                                                                                          </t>
  </si>
  <si>
    <t xml:space="preserve">AV FUSION DIRECT ANY SITE                                                                                                                       </t>
  </si>
  <si>
    <t xml:space="preserve">ARTERY-VEIN AUTOGRAFT                                                                                                                           </t>
  </si>
  <si>
    <t xml:space="preserve">ARTERY-VEIN NONAUTOGRAFT                                                                                                                        </t>
  </si>
  <si>
    <t xml:space="preserve">OPEN THROMBECT AV FISTULA                                                                                                                       </t>
  </si>
  <si>
    <t xml:space="preserve">AV FISTULA REVISION, OPEN                                                                                                                       </t>
  </si>
  <si>
    <t xml:space="preserve">AV FISTULA REVISION                                                                                                                             </t>
  </si>
  <si>
    <t xml:space="preserve">ARTERY TO VEIN SHUNT                                                                                                                            </t>
  </si>
  <si>
    <t xml:space="preserve">EXTERNAL CANNULA DECLOTTING                                                                                                                     </t>
  </si>
  <si>
    <t xml:space="preserve">CANNULA DECLOTTING                                                                                                                              </t>
  </si>
  <si>
    <t xml:space="preserve">ENDOSCOPY LIGATE PERF VEINS                                                                                                                     </t>
  </si>
  <si>
    <t xml:space="preserve">LIGATION OF A-V FISTULA                                                                                                                         </t>
  </si>
  <si>
    <t xml:space="preserve">TEMPORAL ARTERY PROCEDURE                                                                                                                       </t>
  </si>
  <si>
    <t xml:space="preserve">REVISION OF MAJOR VEIN                                                                                                                          </t>
  </si>
  <si>
    <t xml:space="preserve">REVISE LEG VEIN                                                                                                                                 </t>
  </si>
  <si>
    <t xml:space="preserve">LIGATE/STRIP SHORT LEG VEIN                                                                                                                     </t>
  </si>
  <si>
    <t xml:space="preserve">LIGATE/STRIP LONG LEG VEIN                                                                                                                      </t>
  </si>
  <si>
    <t xml:space="preserve">REMOVAL OF LEG VEINS/LESION                                                                                                                     </t>
  </si>
  <si>
    <t xml:space="preserve">LIGATION, LEG VEINS, OPEN                                                                                                                       </t>
  </si>
  <si>
    <t xml:space="preserve">LIGATION VEIN(S),SUBFASCIAL, OPEN 1 LEG                                                                                                         </t>
  </si>
  <si>
    <t xml:space="preserve">REVISION OF LEG VEIN                                                                                                                            </t>
  </si>
  <si>
    <t xml:space="preserve">LIGATE/DIVIDE/EXCISE VEIN                                                                                                                       </t>
  </si>
  <si>
    <t xml:space="preserve">PENILE VENOUS OCCLUSION                                                                                                                         </t>
  </si>
  <si>
    <t xml:space="preserve">DRAINAGE, LYMPH NODE LESION                                                                                                                     </t>
  </si>
  <si>
    <t xml:space="preserve">INCISION OF LYMPH CHANNELS                                                                                                                      </t>
  </si>
  <si>
    <t xml:space="preserve">BIOPSY/REMOVAL, LYMPH NODES                                                                                                                     </t>
  </si>
  <si>
    <t xml:space="preserve">NEEDLE BIOPSY, LYMPH NODES                                                                                                                      </t>
  </si>
  <si>
    <t xml:space="preserve">EXPLORE DEEP NODE(S), NECK                                                                                                                      </t>
  </si>
  <si>
    <t xml:space="preserve">REMOVAL, NECK/ARMPIT LESION                                                                                                                     </t>
  </si>
  <si>
    <t xml:space="preserve">LAPAROSCOPY, LYMPH NODE BIOP                                                                                                                    </t>
  </si>
  <si>
    <t xml:space="preserve">LAPAROSCOPY, LYMPHADENECTOMY                                                                                                                    </t>
  </si>
  <si>
    <t xml:space="preserve">BILATERAL TOTAL PELVIC LYMPHADENECTOMY AND LYMPH NODE SAMPLING, WASHINGS, BIOPSIES                                                              </t>
  </si>
  <si>
    <t xml:space="preserve">REMOVE ARMPIT LYMPH NODES                                                                                                                       </t>
  </si>
  <si>
    <t xml:space="preserve">REMOVE GROIN LYMPH NODES                                                                                                                        </t>
  </si>
  <si>
    <t xml:space="preserve">PARTIAL EXCISION OF LIP                                                                                                                         </t>
  </si>
  <si>
    <t xml:space="preserve">RECONSTRUCT LIP WITH FLAP                                                                                                                       </t>
  </si>
  <si>
    <t xml:space="preserve">PARTIAL REMOVAL OF LIP                                                                                                                          </t>
  </si>
  <si>
    <t xml:space="preserve">REPAIR LIP                                                                                                                                      </t>
  </si>
  <si>
    <t xml:space="preserve">REPAIR CLEFT LIP/NASAL                                                                                                                          </t>
  </si>
  <si>
    <t xml:space="preserve">DRAINAGE OF MOUTH LESION                                                                                                                        </t>
  </si>
  <si>
    <t xml:space="preserve">EXCISE/REPAIR MOUTH LESION                                                                                                                      </t>
  </si>
  <si>
    <t xml:space="preserve">EXCISION OF MOUTH LESION                                                                                                                        </t>
  </si>
  <si>
    <t xml:space="preserve">EXCISE ORAL MUCOSA FOR GRAFT                                                                                                                    </t>
  </si>
  <si>
    <t xml:space="preserve">EXCISE LIP OR CHEEK FOLD                                                                                                                        </t>
  </si>
  <si>
    <t xml:space="preserve">REPAIR MOUTH LACERATION                                                                                                                         </t>
  </si>
  <si>
    <t xml:space="preserve">RECONSTRUCTION OF MOUTH                                                                                                                         </t>
  </si>
  <si>
    <t xml:space="preserve">INCISION OF TONGUE FOLD                                                                                                                         </t>
  </si>
  <si>
    <t xml:space="preserve">EXCISION OF TONGUE LESION                                                                                                                       </t>
  </si>
  <si>
    <t xml:space="preserve">PARTIAL REMOVAL OF TONGUE                                                                                                                       </t>
  </si>
  <si>
    <t xml:space="preserve">REPAIR TONGUE LACERATION                                                                                                                        </t>
  </si>
  <si>
    <t xml:space="preserve">TONGUE TO LIP SURGERY                                                                                                                           </t>
  </si>
  <si>
    <t xml:space="preserve">RECONSTRUCTION, TONGUE FOLD                                                                                                                     </t>
  </si>
  <si>
    <t xml:space="preserve">DRAINAGE OF GUM LESION                                                                                                                          </t>
  </si>
  <si>
    <t xml:space="preserve">EXCISION OF GUM LESION                                                                                                                          </t>
  </si>
  <si>
    <t xml:space="preserve">HOSPITAL DENTISTRY FACILITY FEE                                                                                                                 </t>
  </si>
  <si>
    <t xml:space="preserve">NO OPERATIVE REPORT NEEDED.                                                                                                                     </t>
  </si>
  <si>
    <t xml:space="preserve">DRAINAGE MOUTH ROOF LESION                                                                                                                      </t>
  </si>
  <si>
    <t xml:space="preserve">EXCISION LESION, MOUTH ROOF                                                                                                                     </t>
  </si>
  <si>
    <t xml:space="preserve">REMOVE PALATE/LESION                                                                                                                            </t>
  </si>
  <si>
    <t xml:space="preserve">EXCISION OF UVULA                                                                                                                               </t>
  </si>
  <si>
    <t xml:space="preserve">REPAIR PALATE, PHARYNX/UVULA                                                                                                                    </t>
  </si>
  <si>
    <t xml:space="preserve">REPAIR PALATE                                                                                                                                   </t>
  </si>
  <si>
    <t xml:space="preserve">RECONSTRUCT CLEFT PALATE                                                                                                                        </t>
  </si>
  <si>
    <t xml:space="preserve">LENGTHENING OF PALATE                                                                                                                           </t>
  </si>
  <si>
    <t xml:space="preserve">REPAIR NOSE TO LIP FISTULA                                                                                                                      </t>
  </si>
  <si>
    <t xml:space="preserve">DRAINAGE OF SALIVARY GLAND                                                                                                                      </t>
  </si>
  <si>
    <t xml:space="preserve">REMOVAL OF SALIVARY STONE                                                                                                                       </t>
  </si>
  <si>
    <t xml:space="preserve">BIOPSY OF SALIVARY GLAND                                                                                                                        </t>
  </si>
  <si>
    <t xml:space="preserve">EXCISION OF SALIVARY CYST                                                                                                                       </t>
  </si>
  <si>
    <t xml:space="preserve">DRAINAGE OF SALIVARY CYST                                                                                                                       </t>
  </si>
  <si>
    <t xml:space="preserve">EXCISE PAROTID GLAND/LESION                                                                                                                     </t>
  </si>
  <si>
    <t xml:space="preserve">EXCISE SUBMAXILLARY GLAND                                                                                                                       </t>
  </si>
  <si>
    <t xml:space="preserve">EXCISE SUBLINGUAL GLAND                                                                                                                         </t>
  </si>
  <si>
    <t xml:space="preserve">REPAIR SALIVARY DUCT                                                                                                                            </t>
  </si>
  <si>
    <t xml:space="preserve">PAROTID DUCT DIVERSION                                                                                                                          </t>
  </si>
  <si>
    <t xml:space="preserve">CLOSURE OF SALIVARY FISTULA                                                                                                                     </t>
  </si>
  <si>
    <t xml:space="preserve">LIGATION OF SALIVARY DUCT                                                                                                                       </t>
  </si>
  <si>
    <t xml:space="preserve">DRAINAGE OF TONSIL ABSCESS                                                                                                                      </t>
  </si>
  <si>
    <t xml:space="preserve">DRAINAGE OF THROAT ABSCESS                                                                                                                      </t>
  </si>
  <si>
    <t xml:space="preserve">BIOPSY OF UPPER NOSE/THROAT                                                                                                                     </t>
  </si>
  <si>
    <t xml:space="preserve">EXCISE PHARYNX LESION                                                                                                                           </t>
  </si>
  <si>
    <t xml:space="preserve">EXCISION OF NECK CYST                                                                                                                           </t>
  </si>
  <si>
    <t xml:space="preserve">REMOVE TONSILS AND ADENOIDS                                                                                                                     </t>
  </si>
  <si>
    <t xml:space="preserve">REMOVAL OF TONSILS                                                                                                                              </t>
  </si>
  <si>
    <t xml:space="preserve">REMOVAL OF ADENOIDS                                                                                                                             </t>
  </si>
  <si>
    <t xml:space="preserve">EXCISION OF TONSIL TAGS                                                                                                                         </t>
  </si>
  <si>
    <t xml:space="preserve">EXCISION OF LINGUAL TONSIL                                                                                                                      </t>
  </si>
  <si>
    <t xml:space="preserve">PARTIAL REMOVAL OF PHARYNX                                                                                                                      </t>
  </si>
  <si>
    <t xml:space="preserve">REVISION OF PHARYNGEAL WALLS                                                                                                                    </t>
  </si>
  <si>
    <t xml:space="preserve">REPAIR THROAT WOUND                                                                                                                             </t>
  </si>
  <si>
    <t xml:space="preserve">RECONSTRUCTION OF THROAT                                                                                                                        </t>
  </si>
  <si>
    <t xml:space="preserve">SURGICAL OPENING OF THROAT                                                                                                                      </t>
  </si>
  <si>
    <t xml:space="preserve">CONTROL THROAT BLEEDING                                                                                                                         </t>
  </si>
  <si>
    <t xml:space="preserve">CONTROL NOSE/THROAT BLEEDING                                                                                                                    </t>
  </si>
  <si>
    <t xml:space="preserve">DIAGNOSTIC EXAM OF ESOPHAGUS USING ENDOSCOPE                            </t>
  </si>
  <si>
    <t xml:space="preserve">BIOPSY OF ESOPHAGUS USING ENDOSCOPE                                                                                                             </t>
  </si>
  <si>
    <t xml:space="preserve">ESOPHAGUS ENDOSCOPY                                                                                                                             </t>
  </si>
  <si>
    <t xml:space="preserve">ESOPH SCOPE W/SUBMUCOUS INJ                                                                                                                     </t>
  </si>
  <si>
    <t xml:space="preserve">ESOPHAGUS ENDOSCOPY, BIOPSY                                                                                                                     </t>
  </si>
  <si>
    <t xml:space="preserve">ESOPH SCOPE W/SCLEROSIS INJ                                                                                                                     </t>
  </si>
  <si>
    <t xml:space="preserve">ESOPHAGUS ENDOSCOPY/LIGATION                                                                                                                    </t>
  </si>
  <si>
    <t xml:space="preserve">REMOVAL OF TISSUE LINING OF ESOPHAGUS USING ENDOSCOPE                   </t>
  </si>
  <si>
    <t xml:space="preserve">PLACEMENT OF STENT ON ESOPHAGUS USING ENDOSCOPE                         </t>
  </si>
  <si>
    <t xml:space="preserve">DILITATION OF ESOPHAGUS USING AN ENDOSCOPE                              </t>
  </si>
  <si>
    <t xml:space="preserve">BALLOON DILATATION OF ESOPHAGUS USING ENDOSCOPE                         </t>
  </si>
  <si>
    <t xml:space="preserve">ESOPHAGUS ENDOSCOPY/LESION                                                                                                                      </t>
  </si>
  <si>
    <t xml:space="preserve">ESOPH ENDOSCOPY, DILATION                                                                                                                       </t>
  </si>
  <si>
    <t xml:space="preserve">ESOPH ENDOSCOPY, REPAIR                                                                                                                         </t>
  </si>
  <si>
    <t xml:space="preserve">WITH ABLATION OF TUMORS, POLYPS, OR OTHER LESIONS, NOT AMENABLE         </t>
  </si>
  <si>
    <t xml:space="preserve">ESOPH ENDOSCOPY W/US EXAM                                                                                                                       </t>
  </si>
  <si>
    <t xml:space="preserve">ESOPH ENDOSCOPY W/US FN BX                                                                                                                      </t>
  </si>
  <si>
    <t xml:space="preserve">DILATATION OF ESOPHAGUS WITH BALLOON -30 MM DIAMETER OR LARGER-FOR ACHALASIA                                                                    </t>
  </si>
  <si>
    <t xml:space="preserve">UPPR GI ENDOSCOPY, DIAGNOSIS                                                                                                                    </t>
  </si>
  <si>
    <t xml:space="preserve">UPPR GI SCOPE W/SUBMUC INJ                                                                                                                      </t>
  </si>
  <si>
    <t xml:space="preserve">ENDOSCOPIC US EXAM, ESOPH                                                                                                                       </t>
  </si>
  <si>
    <t xml:space="preserve">UPPR GI ENDOSCOPY W/US FN BX                                                                                                                    </t>
  </si>
  <si>
    <t xml:space="preserve">UPPER GI ENDOSCOPY, BIOPSY                                                                                                                      </t>
  </si>
  <si>
    <t xml:space="preserve">ESOPH ENDOSCOPE W/DRAIN CYST                                                                                                                    </t>
  </si>
  <si>
    <t xml:space="preserve">UPPER GI ENDOSCOPY WITH TUBE                                                                                                                    </t>
  </si>
  <si>
    <t xml:space="preserve">UPPER GI ENDOSCOPY &amp; INJECT                                                                                                                     </t>
  </si>
  <si>
    <t xml:space="preserve">UPPER GI ENDOSCOPY/LIGATION                                                                                                                     </t>
  </si>
  <si>
    <t xml:space="preserve">UPPR GI SCOPE DILATE STRICTR                                                                                                                    </t>
  </si>
  <si>
    <t xml:space="preserve">PLACE GASTROSTOMY TUBE                                                                                                                          </t>
  </si>
  <si>
    <t xml:space="preserve">OPERATIVE UPPER GI ENDOSCOPY                                                                                                                    </t>
  </si>
  <si>
    <t xml:space="preserve">UPPR GI ENDOSCOPY/GUIDE WIRE                                                                                                                    </t>
  </si>
  <si>
    <t xml:space="preserve">UPPER GI ENDOSCOPY/TUMOR                                                                                                                        </t>
  </si>
  <si>
    <t xml:space="preserve">REMOVAL OF TISSE LINING OF ESOPHAGUS, STOMACH, AND/OR UPPER SMALL BOWEL  USING AN ENDOSCOPE.                                                    </t>
  </si>
  <si>
    <t xml:space="preserve">UPPR GI SCOPE W/THRML TXMNT                                                                                                                     </t>
  </si>
  <si>
    <t xml:space="preserve">ENDOSCOPIC ULTRASOUND EXAM                                                                                                                      </t>
  </si>
  <si>
    <t xml:space="preserve">ENDO CHOLANGIOPANCREATOGRAPH                                                                                                                    </t>
  </si>
  <si>
    <t xml:space="preserve">UPPER GI ENDO INCL ESOPHAGUS, STOMACH, AND EITHER DUEODE &amp;/OR JEJUNUM   AS A^^R^  W TRAMSEMDPCSP^OC STENT PLACEMENT                             </t>
  </si>
  <si>
    <t xml:space="preserve">DESTRUCTION OF GROWTHS ON ESOPHAGUS, STOMACH, AND /OR UPPER SMALL BOWEL  USING AN ENDOSCOPE.                                                    </t>
  </si>
  <si>
    <t xml:space="preserve">WITH ENDSCOPIC RETROGRADE INSERTION OF NASOBILIARY NASOPANCREATIC DRAINAGE TUBE IN SAME DUCT.                                                   </t>
  </si>
  <si>
    <t xml:space="preserve">WITH ENDOSCOPIC RETROGRADE REMOVAL OF FOREIGN BODY AND/OR CHANGE OF TUBEE OR STENT.                                                             </t>
  </si>
  <si>
    <t xml:space="preserve">WITH ENDOSCOPIC RETROGRADE REMOVAL AND EXCHANGE OF STENT.               </t>
  </si>
  <si>
    <t xml:space="preserve">WITH ENDOSCOPIC RETROGRADE BALLOON DILATATION WITH SPHINCTEROPLASTY, SPHINCTEROSTOMY.                                                           </t>
  </si>
  <si>
    <t xml:space="preserve">WITH ABLATION OF TUMOR(S), POLYP(S), OR OTHER, INCLUDING PRE-AND POST-  DILATION AND GUIDE WIRE PASSAGE, WHEN PERFORMED.                        </t>
  </si>
  <si>
    <t xml:space="preserve">DILATE ESOPHAGUS                                                                                                                                </t>
  </si>
  <si>
    <t xml:space="preserve">LAPAROSCOPY, GASTROSTOMY                                                                                                                        </t>
  </si>
  <si>
    <t xml:space="preserve">REPOSITION GASTROSTOMY TUBE                                                                                                                     </t>
  </si>
  <si>
    <t xml:space="preserve">REPLACEMENT OF STOMA TUBE THROUGH SKIN                                  </t>
  </si>
  <si>
    <t xml:space="preserve">REPLACEMENT OF STOMACH STOMA TUBE ACCESSED THROUGH SKIN WITH REVISION OF STOMA OPENING                                                          </t>
  </si>
  <si>
    <t xml:space="preserve">REPAIR STOMACH OPENING                                                                                                                          </t>
  </si>
  <si>
    <t xml:space="preserve">GASTRIC RESTRICTIVE PROCEDURE, OPEN; REVISION OF SUBCUTANEOUS PORT COMPONENT ONLY                                                               </t>
  </si>
  <si>
    <t xml:space="preserve">GASTRIC RESTRICTIVE PROCEDURE, OPEN; REMOVAL OF SUBCUTANEOUS PORT COMPONENT ONLY                                                                </t>
  </si>
  <si>
    <t xml:space="preserve">GASTRIC RESTRICTIVE PROCEDURE, OPEN; REMOVAL AND REPLACEMENT OF COMPONENT ONLY                                                                  </t>
  </si>
  <si>
    <t xml:space="preserve">BIOPSY OF BOWEL                                                                                                                                 </t>
  </si>
  <si>
    <t xml:space="preserve">REVISION OF ILEOSTOMY                                                                                                                           </t>
  </si>
  <si>
    <t xml:space="preserve">REVISION OF COLOSTOMY                                                                                                                           </t>
  </si>
  <si>
    <t xml:space="preserve">SMALL BOWEL ENDOSCOPY                                                                                                                           </t>
  </si>
  <si>
    <t xml:space="preserve">SMALL BOWEL ENDOSCOPY/BIOPSY                                                                                                                    </t>
  </si>
  <si>
    <t xml:space="preserve">SMALL BOWEL ENDOSCOPY/STENT                                                                                                                     </t>
  </si>
  <si>
    <t xml:space="preserve">SBOWEL ENDOSCOPE W/STENT                                                                                                                        </t>
  </si>
  <si>
    <t xml:space="preserve">ENDOSCOPY OF BOWEL POUCH                                                                                                                        </t>
  </si>
  <si>
    <t xml:space="preserve">ENDOSCOPY, BOWEL POUCH/BIOP                                                                                                                     </t>
  </si>
  <si>
    <t xml:space="preserve">COLONOSCOPY                                                                                                                                     </t>
  </si>
  <si>
    <t xml:space="preserve">COLONOSCOPY WITH BIOPSY                                                                                                                         </t>
  </si>
  <si>
    <t xml:space="preserve">COLONOSCOPY FOR FOREIGN BODY                                                                                                                    </t>
  </si>
  <si>
    <t xml:space="preserve">COLONOSCOPY FOR BLEEDING                                                                                                                        </t>
  </si>
  <si>
    <t xml:space="preserve">COLONOSCOPY &amp; POLYPECTOMY                                                                                                                       </t>
  </si>
  <si>
    <t xml:space="preserve">COLONOSCOPY W/SNARE                                                                                                                             </t>
  </si>
  <si>
    <t xml:space="preserve">STENT PLACEMENT IN LARGE BOWEL USING AN ENDOSCOPE WHICH IS INSERTED THROUGH ABDOMINAL OPENING                                                   </t>
  </si>
  <si>
    <t xml:space="preserve">DRAINAGE OF PELVIC ABSCESS                                                                                                                      </t>
  </si>
  <si>
    <t xml:space="preserve">DRAINAGE OF RECTAL ABSCESS                                                                                                                      </t>
  </si>
  <si>
    <t xml:space="preserve">BIOPSY OF RECTUM                                                                                                                                </t>
  </si>
  <si>
    <t xml:space="preserve">REMOVAL OF ANORECTAL LESION                                                                                                                     </t>
  </si>
  <si>
    <t xml:space="preserve">EXCISION OF RECTAL STRICTURE                                                                                                                    </t>
  </si>
  <si>
    <t xml:space="preserve">EXCISION OF RECTAL LESION                                                                                                                       </t>
  </si>
  <si>
    <t xml:space="preserve">EXC RECTAL TUMOR, NOT INCL MUSC PROPRIA                                                                                                         </t>
  </si>
  <si>
    <t xml:space="preserve">EXC RECTAL TUMOR, INCLUDE MUSC PROPRIA                                                                                                          </t>
  </si>
  <si>
    <t xml:space="preserve">DESTRUCTION, RECTAL TUMOR                                                                                                                       </t>
  </si>
  <si>
    <t xml:space="preserve">PROCTOSIGMOIDOSCOPY W/BX                                                                                                                        </t>
  </si>
  <si>
    <t xml:space="preserve">PROCTOSIGMOIDOSCOPY FB                                                                                                                          </t>
  </si>
  <si>
    <t xml:space="preserve">PROCTOSIGMOIDOSCOPY REMOVAL                                                                                                                     </t>
  </si>
  <si>
    <t xml:space="preserve">PROCTOSIGMOIDOSCOPY BLEED                                                                                                                       </t>
  </si>
  <si>
    <t xml:space="preserve">PROCTOSIGMOIDOSCOPY ABLATE                                                                                                                      </t>
  </si>
  <si>
    <t xml:space="preserve">PROCTOSIGMOIDOSCOPY VOLVUL                                                                                                                      </t>
  </si>
  <si>
    <t xml:space="preserve">PROCTOSIGMOIDOSCOPY W/STENT                                                                                                                     </t>
  </si>
  <si>
    <t xml:space="preserve">SIGMOIDOSCOPY, FLEXIBLE, DIAGNOSTIC, W/WO COLLECTION OF SPECIMEN(S) BYBRUSHING OR WASHING                                                       </t>
  </si>
  <si>
    <t xml:space="preserve">SIGMOIDOSCOPY AND BIOPSY                                                                                                                        </t>
  </si>
  <si>
    <t xml:space="preserve">SIGMOIDOSCOPY W/FB REMOVAL                                                                                                                      </t>
  </si>
  <si>
    <t xml:space="preserve">SIGMOIDOSCOPY &amp; POLYPECTOMY                                                                                                                     </t>
  </si>
  <si>
    <t xml:space="preserve">SIGMOIDOSCOPY FOR BLEEDING                                                                                                                      </t>
  </si>
  <si>
    <t xml:space="preserve">SIGMOIDOSCOPY W/SUBMUC INJ                                                                                                                      </t>
  </si>
  <si>
    <t xml:space="preserve">SIGMOIDOSCOPY &amp; DECOMPRESS                                                                                                                      </t>
  </si>
  <si>
    <t xml:space="preserve">SIGMOIDOSCOPY W/TUMR REMOVE                                                                                                                     </t>
  </si>
  <si>
    <t xml:space="preserve">SIG W/BALLOON DILATION                                                                                                                          </t>
  </si>
  <si>
    <t xml:space="preserve">SIGMOIDOSCOPY W/ULTRASOUND                                                                                                                      </t>
  </si>
  <si>
    <t xml:space="preserve">SIGMOIDOSCOPY W/US GUIDE BX                                                                                                                     </t>
  </si>
  <si>
    <t xml:space="preserve">DESTRUCTION OF POLYPS OR GROWTHS OF LARGE BOWEL USING AN ENDOSCOPE                                                                              </t>
  </si>
  <si>
    <t xml:space="preserve">PLACEMENT OF STENT IN LARGE BOWEL USING AN ENDOSCOPE                    </t>
  </si>
  <si>
    <t xml:space="preserve">DIAGNOSTIC COLONOSCOPY                                                                                                                          </t>
  </si>
  <si>
    <t xml:space="preserve">COLONOSCOPY W/FB REMOVAL                                                                                                                        </t>
  </si>
  <si>
    <t xml:space="preserve">COLONOSCOPY AND BIOPSY                                                                                                                          </t>
  </si>
  <si>
    <t xml:space="preserve">COLONOSCOPY, SUBMUCOUS INJ                                                                                                                      </t>
  </si>
  <si>
    <t xml:space="preserve">COLONOSCOPY/CONTROL BLEEDING                                                                                                                    </t>
  </si>
  <si>
    <t xml:space="preserve">LESION REMOVE COLONOSCOPY                                                                                                                       </t>
  </si>
  <si>
    <t xml:space="preserve">LESION REMOVAL COLONOSCOPY                                                                                                                      </t>
  </si>
  <si>
    <t xml:space="preserve">COLONOSCOPY DILATE STRICTURE                                                                                                                    </t>
  </si>
  <si>
    <t xml:space="preserve">DESTRUCTION OF LARGE BOWEL GROWTHS USING AN ENDOSCOPE*****              </t>
  </si>
  <si>
    <t xml:space="preserve">STENT PLACEMENT OF LARGE BOWEL USING AN ENDOSCOPE                       </t>
  </si>
  <si>
    <t xml:space="preserve">COLONOSCOPY W/ENDOSCOPE US                                                                                                                      </t>
  </si>
  <si>
    <t xml:space="preserve">COLONOSCOPY W/ENDOSCOPIC FNB                                                                                                                    </t>
  </si>
  <si>
    <t xml:space="preserve">REPAIR OF RECTUM                                                                                                                                </t>
  </si>
  <si>
    <t xml:space="preserve">REPAIR OF RECTOCELE                                                                                                                             </t>
  </si>
  <si>
    <t xml:space="preserve">REDUCTION OF RECTAL PROLAPSE                                                                                                                    </t>
  </si>
  <si>
    <t xml:space="preserve">DILATION OF ANAL SPHINCTER                                                                                                                      </t>
  </si>
  <si>
    <t xml:space="preserve">DILATION OF RECTAL NARROWING                                                                                                                    </t>
  </si>
  <si>
    <t xml:space="preserve">REMOVE RECTAL OBSTRUCTION                                                                                                                       </t>
  </si>
  <si>
    <t xml:space="preserve">SURG DX EXAM, ANORECTAL                                                                                                                         </t>
  </si>
  <si>
    <t xml:space="preserve">PLACEMENT OF SETON                                                                                                                              </t>
  </si>
  <si>
    <t xml:space="preserve">REMOVAL OF RECTAL MARKER                                                                                                                        </t>
  </si>
  <si>
    <t xml:space="preserve">INCISION OF RECTAL ABSCESS                                                                                                                      </t>
  </si>
  <si>
    <t xml:space="preserve">INCISION OF ANAL ABSCESS                                                                                                                        </t>
  </si>
  <si>
    <t xml:space="preserve">INCISION OF ANAL SPHINCTER                                                                                                                      </t>
  </si>
  <si>
    <t xml:space="preserve">REMOVAL OF ANAL FISSURE                                                                                                                         </t>
  </si>
  <si>
    <t xml:space="preserve">REMOVAL OF ANAL TAG                                                                                                                             </t>
  </si>
  <si>
    <t xml:space="preserve">REMOVAL OF ANAL TAGS                                                                                                                            </t>
  </si>
  <si>
    <t xml:space="preserve">HEMORRHOIDECTOMY                                                                                                                                </t>
  </si>
  <si>
    <t xml:space="preserve">REMOVE HEMORRHOIDS &amp; FISSURE                                                                                                                    </t>
  </si>
  <si>
    <t xml:space="preserve">REMOVE HEMORRHOIDS &amp; FISTULA                                                                                                                    </t>
  </si>
  <si>
    <t xml:space="preserve">REMOVAL OF ANAL FISTULA                                                                                                                         </t>
  </si>
  <si>
    <t xml:space="preserve">REPAIR ANAL FISTULA                                                                                                                             </t>
  </si>
  <si>
    <t xml:space="preserve">ANOSCOPY, REMOVE FOR BODY                                                                                                                       </t>
  </si>
  <si>
    <t xml:space="preserve">ANOSCOPY, REMOVE LESION                                                                                                                         </t>
  </si>
  <si>
    <t xml:space="preserve">ANOSCOPY                                                                                                                                        </t>
  </si>
  <si>
    <t xml:space="preserve">ANOSCOPY, REMOVE LESIONS                                                                                                                        </t>
  </si>
  <si>
    <t xml:space="preserve">REPAIR OF ANAL STRICTURE                                                                                                                        </t>
  </si>
  <si>
    <t xml:space="preserve">REPR OF ANAL FISTULA W/GLUE                                                                                                                     </t>
  </si>
  <si>
    <t xml:space="preserve">REPAIR ANORECTAL FISTULA WITH PLUG                                                                                                              </t>
  </si>
  <si>
    <t xml:space="preserve">REPAIR OF ANAL SPHINCTER                                                                                                                        </t>
  </si>
  <si>
    <t xml:space="preserve">RECONSTRUCTION OF ANUS                                                                                                                          </t>
  </si>
  <si>
    <t xml:space="preserve">REMOVAL OF SUTURE FROM ANUS                                                                                                                     </t>
  </si>
  <si>
    <t xml:space="preserve">LASER SURGERY, ANAL LESIONS                                                                                                                     </t>
  </si>
  <si>
    <t xml:space="preserve">EXCISION OF ANAL LESION(S)                                                                                                                      </t>
  </si>
  <si>
    <t xml:space="preserve">DESTRUCTION, ANAL LESION(S)                                                                                                                     </t>
  </si>
  <si>
    <t xml:space="preserve">DESTRUCT INT HEMORRHOID-THERM ENERGY                                                                                                            </t>
  </si>
  <si>
    <t xml:space="preserve">LIGATION OF HEMORRHOIDS                                                                                                                         </t>
  </si>
  <si>
    <t xml:space="preserve">HEMORRHOIDOPEXY BY STAPLING                                                                                                                     </t>
  </si>
  <si>
    <t xml:space="preserve">NEEDLE BIOPSY OF LIVER                                                                                                                          </t>
  </si>
  <si>
    <t xml:space="preserve">PLACEMENT OF A DRAINAGE CATHETER OF BILIARY DUCT, ACCESSED THROUGH SKIN WITH IMAGING INCLUDING RADIOLOGICAL SUPERVISION AND INTERPRETATION      </t>
  </si>
  <si>
    <t xml:space="preserve">PLACEMENT OF DRAINAGE CATHETER OF BILIARY DUCT, ACCESSED THROUGHTHE SKIN WITH IMAGING INCLUDING RADIOLOGICAL SUPERVISON AND INTERPRETATION      </t>
  </si>
  <si>
    <t xml:space="preserve">REPLACEMENT OF LIVER DUCT DRAINAGE CATHETER ACCESSED THROUGH THE SKIN WITH IMAGING AND RADIOLOGICAL SUPERVISION AND INTERPRETATION              </t>
  </si>
  <si>
    <t xml:space="preserve">REMOVAL OF BILIARY DRAINAGE CATHETER, ACCESSED THROUGH THE SKIN USING IMAGING GUIDANCE AND RADIOLOGICAL SUPERVISION AND INTERPRETATION          </t>
  </si>
  <si>
    <t xml:space="preserve">PLACEMENT OF STENT OF BILIARY DUCT, ACCESSED THROUGH THE SKIN WITH IMAGING INCLUDING RADIOLOGICAL SUPERVISION AND INTERPRETATION                </t>
  </si>
  <si>
    <t xml:space="preserve">PLACEMENT OF STENT OR BILIARY DUCT, ACCESSED THROUGH THE SKIN WITH IMAGING INCLUDING RADIOLOGICAL SUPERVISION AND INTERPRETATION                </t>
  </si>
  <si>
    <t xml:space="preserve">PLACEMENT OF STENT AND DRAINAGE CATHETER OF BILIARY DUCT, ACCESSED THROUGH THE SKIN WITH IMAGING INCLUDING RADIOLOGICAL SUPERVISION/INTERPRET   </t>
  </si>
  <si>
    <t xml:space="preserve">PLACEMENT OF ACCESS DEVICE INTO BILIARY TRACT, ACCESSED THROUGH THE SKINWITH IMAGING INCLUDING RADIOLOGICAL SUPERVISION AND INTERPRETATION      </t>
  </si>
  <si>
    <t xml:space="preserve">REMOVAL OF BILIARY DUCT OR GALLBLADDER STONE, ACCESSED THROUGH THE SKIN USING IMAGING GUIDANCE AND RADIOLOGICAL SUPERVISION AND INTERPRETATION  </t>
  </si>
  <si>
    <t xml:space="preserve">BILIARY ENDOSCOPY THRU SKIN                                                                                                                     </t>
  </si>
  <si>
    <t xml:space="preserve">LAPAROSCOPY, SURGICAL; CHOLECYSTECTOMY                                                                                                          </t>
  </si>
  <si>
    <t xml:space="preserve">LAPAROSCOPY CHOLE, CHOLANGIOGRAPHY                                      </t>
  </si>
  <si>
    <t xml:space="preserve">LAPRO CHOLE W/EXPLCOMMN DUCT                                            </t>
  </si>
  <si>
    <t xml:space="preserve">UNLISTED LAPAROSCOPY PROCEDURE, BILIARY TRACT                           </t>
  </si>
  <si>
    <t xml:space="preserve">BIOPSY OF PANCREAS, NEEDLE, PERCUTANEOUS                                                                                                        </t>
  </si>
  <si>
    <t xml:space="preserve">BIOPSY, ABDOMINAL MASS                                                                                                                          </t>
  </si>
  <si>
    <t xml:space="preserve">EXCISION OF UMBILICUS                                                                                                                           </t>
  </si>
  <si>
    <t xml:space="preserve">DIAG LAPARO SEPARATE PROC                                                                                                                       </t>
  </si>
  <si>
    <t xml:space="preserve">LAPAROSCOPY, BIOPSY                                                                                                                             </t>
  </si>
  <si>
    <t xml:space="preserve">LAPAROSCOPY, ASPIRATION                                                                                                                         </t>
  </si>
  <si>
    <t xml:space="preserve">REMOVE FOREIGN BODY, ADBOMEN                                                                                                                    </t>
  </si>
  <si>
    <t xml:space="preserve">PLACE INTERSTITIAL DEVICE(S); SNGL/MULT                                                                                                         </t>
  </si>
  <si>
    <t xml:space="preserve">INSRT ABDOM CATH FOR CHEMOTX                                                                                                                    </t>
  </si>
  <si>
    <t xml:space="preserve">INSERT ABDOM DRAIN, PERM                                                                                                                        </t>
  </si>
  <si>
    <t xml:space="preserve">REMOVE PERM CANNULA/CATHETER                                                                                                                    </t>
  </si>
  <si>
    <t xml:space="preserve">REVISE ABDOMEN-VENOUS SHUNT                                                                                                                     </t>
  </si>
  <si>
    <t xml:space="preserve">INSERTION OF GASTROSTOMY TUBE, PERCUTANEOUS, UNDER FLURO GUIDANCE       </t>
  </si>
  <si>
    <t xml:space="preserve">INSERTION OF DUODENOSTOMY OR JEJUNOSTOMY TUBE, PERCUTANEOUS, UNDER FLUORSCOPIC GUIDANCE INLCUDING CONTRAST INJECT(S), IMAGE DOCUMENTATION       </t>
  </si>
  <si>
    <t xml:space="preserve">CONVERSION OF GASTROSTOMY TUBE TO GASTRO-JEJUNOSTOMY TUBE, PERCUTANEOUS,UNDER                                                                   </t>
  </si>
  <si>
    <t xml:space="preserve">REPLACEMENT OF GASTROSTOMY OR CECOSTOMY (OR OTHER COLONIC) TUBE, PERCUTANEOUS                                                                   </t>
  </si>
  <si>
    <t xml:space="preserve">REPLACEMENT OF DUDENOSTOMY OR JEJUNOSTOMY TUBE, PERCUTANEOUS, UNDER FLUROSCOPIC GUIDANCE INCLUDING CONTRAST INEJCTION(S), IMAGE DOC             </t>
  </si>
  <si>
    <t xml:space="preserve">REPLACEMENT OF GASTR-JEJUNOSTOMY TUBE, PERCUTANEOUS, UNDER FLUORSCOPIC  GUIDANCE INCLUIDNG CONTRAST INJECTIONS(S), IMAGE DOCUMENTATATION AND    </t>
  </si>
  <si>
    <t xml:space="preserve">RPR ING HERNIA BABY, REDUC                                                                                                                      </t>
  </si>
  <si>
    <t xml:space="preserve">RPR ING HERNIA BABY, BLOCKED                                                                                                                    </t>
  </si>
  <si>
    <t xml:space="preserve">RPR ING HERNIA, INIT, REDUCE                                                                                                                    </t>
  </si>
  <si>
    <t xml:space="preserve">RPR ING HERNIA, INIT BLOCKED                                                                                                                    </t>
  </si>
  <si>
    <t xml:space="preserve">PRP I/HERN INIT REDUC &gt;5 YR                                                                                                                     </t>
  </si>
  <si>
    <t xml:space="preserve">PRP I/HERN INIT BLOCK &gt;5 YR                                                                                                                     </t>
  </si>
  <si>
    <t xml:space="preserve">REREPAIR ING HERNIA, REDUCE                                                                                                                     </t>
  </si>
  <si>
    <t xml:space="preserve">REREPAIR ING HERNIA, BLOCKED                                                                                                                    </t>
  </si>
  <si>
    <t xml:space="preserve">REPAIR ING HERNIA, SLIDING                                                                                                                      </t>
  </si>
  <si>
    <t xml:space="preserve">REPAIR LUMBAR HERNIA                                                                                                                            </t>
  </si>
  <si>
    <t xml:space="preserve">RPR REM HERNIA, INIT, REDUCE                                                                                                                    </t>
  </si>
  <si>
    <t xml:space="preserve">RPR FEM HERNIA, INIT BLOCKED                                                                                                                    </t>
  </si>
  <si>
    <t xml:space="preserve">REREPAIR FEM HERNIA, REDUCE                                                                                                                     </t>
  </si>
  <si>
    <t xml:space="preserve">REREPAIR FEM HERNIA, BLOCKED                                                                                                                    </t>
  </si>
  <si>
    <t xml:space="preserve">RPR VENTRAL HERN INIT, REDUC  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</si>
  <si>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</si>
  <si>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RPR VENTRAL HERN INIT, BLOCK                                                                                                                    </t>
  </si>
  <si>
    <t xml:space="preserve">REREPAIR VENTRL HERN, REDUCE                                                                                                                    </t>
  </si>
  <si>
    <t xml:space="preserve">REREPAIR VENTRL HERN, BLOCK                                                                                                                     </t>
  </si>
  <si>
    <t xml:space="preserve">HERNIA REPAIR W/MESH                                                                                                                            </t>
  </si>
  <si>
    <t xml:space="preserve">RPR EPIGASTRIC HERN, REDUCE                                                                                                                     </t>
  </si>
  <si>
    <t xml:space="preserve">RPR EPIGASTRIC HERN, BLOCKED                                                                                                                    </t>
  </si>
  <si>
    <t xml:space="preserve">RPR UMBIL HERN, REDUC &lt; 5 YR                                                                                                                    </t>
  </si>
  <si>
    <t xml:space="preserve">RPR UMBIL HERN, BLOCK &lt; 5 YR                                                                                                                    </t>
  </si>
  <si>
    <t xml:space="preserve">RPR UMBIL HERN, REDUC &gt; 5 YR                                                                                                                    </t>
  </si>
  <si>
    <t xml:space="preserve">RPR UMBIL HERN, BLOCK &gt; 5 YR                                                                                                                    </t>
  </si>
  <si>
    <t xml:space="preserve">REPAIR SPIGELIAN HERNIA                                                                                                                         </t>
  </si>
  <si>
    <t xml:space="preserve">RPR AA HRN 1ST &lt;3 CM RDC                                                                                                                        </t>
  </si>
  <si>
    <t xml:space="preserve">RPR AA HRN 1ST &lt; 3 NCR/STRN                                                                                                                     </t>
  </si>
  <si>
    <t xml:space="preserve">RPR AA HRN 1ST 3-10 RDC                                                                                                                         </t>
  </si>
  <si>
    <t xml:space="preserve">RPR AA HRN 1ST 3-10 NCR/STRN                                                                                                                    </t>
  </si>
  <si>
    <t xml:space="preserve">RPR AA HRN 1ST &gt; 10 RDC                                                                                                                         </t>
  </si>
  <si>
    <t xml:space="preserve">RPR AA HRN 1ST &gt; 10 NCR/STRN                                                                                                                    </t>
  </si>
  <si>
    <t xml:space="preserve">REPAIR UMBILICAL LESION                                                                                                                         </t>
  </si>
  <si>
    <t xml:space="preserve">RPR AA HERN RCR &lt; 3 CM                                                                                                                          </t>
  </si>
  <si>
    <t xml:space="preserve">RPR AA HERN RCR &lt; 3 NCR/STRN                                                                                                                    </t>
  </si>
  <si>
    <t xml:space="preserve">RPR AA HRN RCR 3-10 RDC                                                                                                                         </t>
  </si>
  <si>
    <t xml:space="preserve">RPR AA HRN RCR 3-10 NCR/STRN                                                                                                                    </t>
  </si>
  <si>
    <t xml:space="preserve">RPR AA HRN RCR &gt; 10 RDC                                                                                                                         </t>
  </si>
  <si>
    <t xml:space="preserve">RPR AA HRN RCR &gt; 10 NCR/STRN                                                                                                                    </t>
  </si>
  <si>
    <t xml:space="preserve">LAPARO HERNIA REPAIR INITIAL                                                                                                                    </t>
  </si>
  <si>
    <t xml:space="preserve">LAPARO HERNIA REPAIR RECUR                                                                                                                      </t>
  </si>
  <si>
    <t xml:space="preserve">LAP REPR, VENT/UMB/SPIG/EPI HERNIA, REDU                                                                                                        </t>
  </si>
  <si>
    <t xml:space="preserve">LAP REPR VENT/UMB/SPIEPI HERNIA INCAR                                                                                                           </t>
  </si>
  <si>
    <t xml:space="preserve">LAP, SURG REPR, INCIS HERNIA;REDUCIBL                                                                                                           </t>
  </si>
  <si>
    <t xml:space="preserve">LAP REPAIR, INCIS HERNIA; INCAR/STRANG                                                                                                          </t>
  </si>
  <si>
    <t xml:space="preserve">LAP REPAIR, REC INCIS HERNIA;REDUCIBLE                                                                                                          </t>
  </si>
  <si>
    <t xml:space="preserve">LAP REPAIR REC INCI HERNIA INCAR/STRANG                                                                                                         </t>
  </si>
  <si>
    <t xml:space="preserve">BIOPSY OF KIDNEY                                                                                                                                </t>
  </si>
  <si>
    <t xml:space="preserve">DRAINAGE OF KIDNEY LESION                                                                                                                       </t>
  </si>
  <si>
    <t xml:space="preserve">MEASURE KIDNEY PRESSURE                                                                                                                         </t>
  </si>
  <si>
    <t xml:space="preserve">PLACEMENT OF CATHETER OF KIDNEY, ACCESSED THROUGH THE SKIN USING IMAGING GUIDANCE WITH RADIOLOGICAL SUPERVISION AND INTERPRETATION              </t>
  </si>
  <si>
    <t xml:space="preserve">REPLACEMENT OF KIDNEY DRAINAGE CATHETER ACCESSED THROUGH THE SKIN WITH  IMAGING AND RADIOLOGICAL SUPERVISION AND INTERPRETATION                 </t>
  </si>
  <si>
    <t xml:space="preserve">ENLARGEMENT OF EXISTING OPENING INTO URINARY TRACT ASSESSED THROUGH SKIN USING IMAGING GUIDANCE                                                 </t>
  </si>
  <si>
    <t xml:space="preserve">ENLARGEMENT OF EXISTING OPENING INTO URINARY TRACT ACCESSED THROUGH SKIN AND CREATION OF NEW ACCESS INTO URIN COLLECTING SYSTEM OF KIDNEY       </t>
  </si>
  <si>
    <t xml:space="preserve">KIDNEY ENDOSCOPY                                                                                                                                </t>
  </si>
  <si>
    <t xml:space="preserve">KIDNEY ENDOSCOPY &amp; BIOPSY                                                                                                                       </t>
  </si>
  <si>
    <t xml:space="preserve">KIDNEY ENDOSCOPY &amp; TREATMENT                                                                                                                    </t>
  </si>
  <si>
    <t xml:space="preserve">LITHOTRIPSY, EXTRACORPOREAL SHOCK WAVE (INTERNAL PRICING PRIOR TO 7/1/90-UNILATERAL                                                             </t>
  </si>
  <si>
    <t xml:space="preserve">CHANGE OF URETER TUBE/STENT                                                                                                                     </t>
  </si>
  <si>
    <t xml:space="preserve">PLACEMENT OF STENT OF URNINARY DUCT (URETER) ACCESSED THRU THE SKIN WITH IMAGING INCLUDING RADIOLOGICAL SUPERVISION AND INTERPRETATION          </t>
  </si>
  <si>
    <t xml:space="preserve">PLACEMENT OF STENT OF URINARY DUCT (URETER), ACCESSED THROUGH THE SKIN -WITH IMAGING INCLUDING RADIOLOGICAL SUPERVISION AND INTERPRETATION      </t>
  </si>
  <si>
    <t xml:space="preserve">PLACEMENT OF STENT OF URINARY DUCT (URETER), ACCESSED THROUGH THE SKIN  WITH IMAGING INCLUDING RADIOLOGICAL SUPERVISON AND INTERPRETATION       </t>
  </si>
  <si>
    <t xml:space="preserve">LAPARO NEW URETER/BLADDER                                                                                                                       </t>
  </si>
  <si>
    <t xml:space="preserve">ENDOSCOPY OF URETER                                                                                                                             </t>
  </si>
  <si>
    <t xml:space="preserve">URETER ENDOSCOPY &amp; BIOPSY                                                                                                                       </t>
  </si>
  <si>
    <t xml:space="preserve">URETER ENDOSCOPY &amp; TREATMENT                                                                                                                    </t>
  </si>
  <si>
    <t xml:space="preserve">URETER ENDOSCOPY                                                                                                                                </t>
  </si>
  <si>
    <t xml:space="preserve">URETER ENDOSCOPY &amp; CATHETER                                                                                                                     </t>
  </si>
  <si>
    <t xml:space="preserve">INCISE &amp; TREAT BLADDER                                                                                                                          </t>
  </si>
  <si>
    <t xml:space="preserve">INCISE &amp; DRAIN BLADDER                                                                                                                          </t>
  </si>
  <si>
    <t xml:space="preserve">INCISE BLADDER/DRAIN URETER                                                                                                                     </t>
  </si>
  <si>
    <t xml:space="preserve">REMOVAL OF BLADDER STONE                                                                                                                        </t>
  </si>
  <si>
    <t xml:space="preserve">REMOVE URETER CALCULUS                                                                                                                          </t>
  </si>
  <si>
    <t xml:space="preserve">DRAINAGE OF BLADDER ABSCESS                                                                                                                     </t>
  </si>
  <si>
    <t xml:space="preserve">REMOVAL OF BLADDER CYST                                                                                                                         </t>
  </si>
  <si>
    <t xml:space="preserve">REMOVAL OF BLADDER LESION                                                                                                                       </t>
  </si>
  <si>
    <t xml:space="preserve">CHANGE OF BLADDER TUBE                                                                                                                          </t>
  </si>
  <si>
    <t xml:space="preserve">ENDOSCOPIC INJECTION/IMPLANT                                                                                                                    </t>
  </si>
  <si>
    <t xml:space="preserve">COMPLEX CYSTOMETROGRAM                                                                                                                          </t>
  </si>
  <si>
    <t xml:space="preserve">ANAL/URINARY MUSCLE STUDY                                                                                                                       </t>
  </si>
  <si>
    <t xml:space="preserve">REPAIR OF BLADDER OPENING                                                                                                                       </t>
  </si>
  <si>
    <t xml:space="preserve">LAPARO SLING OPERATION                                                                                                                          </t>
  </si>
  <si>
    <t xml:space="preserve">CYSTOSCOPY                                                                                                                                      </t>
  </si>
  <si>
    <t xml:space="preserve">CYSTOSCOPY, REMOVAL OF CLOTS                                                                                                                    </t>
  </si>
  <si>
    <t xml:space="preserve">CYSTOSCOPY &amp; URETER CATHETER                                                                                                                    </t>
  </si>
  <si>
    <t xml:space="preserve">CYSTOSCOPY AND BIOPSY                                                                                                                           </t>
  </si>
  <si>
    <t xml:space="preserve">CYSTOSCOPY &amp; DUCT CATHETER                                                                                                                      </t>
  </si>
  <si>
    <t xml:space="preserve">CYSTOSCOPY W/BIOPSY(S)                                                                                                                          </t>
  </si>
  <si>
    <t xml:space="preserve">CYSTOSCOPY AND TREATMENT                                                                                                                        </t>
  </si>
  <si>
    <t xml:space="preserve">CYSTOSCOPY AND RADIOTRACER                                                                                                                      </t>
  </si>
  <si>
    <t xml:space="preserve">CYSTOSCOPY &amp; REVISE URETHRA                                                                                                                     </t>
  </si>
  <si>
    <t xml:space="preserve">CYSTOSCOPY, IMPLANT STENT                                                                                                                       </t>
  </si>
  <si>
    <t xml:space="preserve">REMOVE BLADDER STONE                                                                                                                            </t>
  </si>
  <si>
    <t xml:space="preserve">CYSTOSCOPY, STONE REMOVAL                                                                                                                       </t>
  </si>
  <si>
    <t xml:space="preserve">CYSTOSCOPY, INJECT MATERIAL                                                                                                                     </t>
  </si>
  <si>
    <t xml:space="preserve">CREATE PASSAGE TO KIDNEY                                                                                                                        </t>
  </si>
  <si>
    <t xml:space="preserve">CYSTO W/URETER STRICTURE TX                                                                                                                     </t>
  </si>
  <si>
    <t xml:space="preserve">CYSTO W/UP STRICTURE TX                                                                                                                         </t>
  </si>
  <si>
    <t xml:space="preserve">CYSTO W/RENAL STRICTURE TX                                                                                                                      </t>
  </si>
  <si>
    <t xml:space="preserve">CYSTO/URETERO, STRICTURE TX                                                                                                                     </t>
  </si>
  <si>
    <t xml:space="preserve">CYSTO/URETERO W/UP STRICTURE                                                                                                                    </t>
  </si>
  <si>
    <t xml:space="preserve">CYSTOURETERO W/RENAL STRICT                                                                                                                     </t>
  </si>
  <si>
    <t xml:space="preserve">CYSTOURETERO &amp; OR PYELOSCOPE                                                                                                                    </t>
  </si>
  <si>
    <t xml:space="preserve">CYSTOURETERO W/STONE REMOVE                                                                                                                     </t>
  </si>
  <si>
    <t xml:space="preserve">CYSTOURETERO W/LITHOTRIPSY                                                                                                                      </t>
  </si>
  <si>
    <t xml:space="preserve">CYSTOURETERO W/BIOPSY                                                                                                                           </t>
  </si>
  <si>
    <t xml:space="preserve">CYSTOURETERO W/EXCISE TUMOR                                                                                                                     </t>
  </si>
  <si>
    <t xml:space="preserve">CYSTOURETERO W/CONGEN REPR                                                                                                                      </t>
  </si>
  <si>
    <t xml:space="preserve">CYSTOURETHRO CUT EJACUL DUCT                                                                                                                    </t>
  </si>
  <si>
    <t xml:space="preserve">INCISION OF PROSTATE                                                                                                                            </t>
  </si>
  <si>
    <t xml:space="preserve">REVISION OF BLADDER NECK                                                                                                                        </t>
  </si>
  <si>
    <t xml:space="preserve">PROSTATECTOMY (TURP)                                                                                                                            </t>
  </si>
  <si>
    <t xml:space="preserve">REMOVE PROSTATE REGROWTH                                                                                                                        </t>
  </si>
  <si>
    <t xml:space="preserve">RELIEVE BLADDER CONTRACTURE                                                                                                                     </t>
  </si>
  <si>
    <t xml:space="preserve">LASER SURGERY OF PROSTATE                                                                                                                       </t>
  </si>
  <si>
    <t xml:space="preserve">DRAINAGE OF PROSTATE ABSCESS                                                                                                                    </t>
  </si>
  <si>
    <t xml:space="preserve">INCISION OF URETHRA                                                                                                                             </t>
  </si>
  <si>
    <t xml:space="preserve">DRAINAGE OF URETHRA ABSCESS                                                                                                                     </t>
  </si>
  <si>
    <t xml:space="preserve">DRAINAGE OF URINARY LEAKAGE                                                                                                                     </t>
  </si>
  <si>
    <t xml:space="preserve">BIOPSY OF URETHRA                                                                                                                               </t>
  </si>
  <si>
    <t xml:space="preserve">REMOVAL OF URETHRA                                                                                                                              </t>
  </si>
  <si>
    <t xml:space="preserve">TREATMENT OF URETHRA LESION                                                                                                                     </t>
  </si>
  <si>
    <t xml:space="preserve">REMOVAL OF URETHRA LESION                                                                                                                       </t>
  </si>
  <si>
    <t xml:space="preserve">SURGERY FOR URETHRA POUCH                                                                                                                       </t>
  </si>
  <si>
    <t xml:space="preserve">REMOVAL OF URETHRA GLAND                                                                                                                        </t>
  </si>
  <si>
    <t xml:space="preserve">REPAIR OF URETHRA DEFECT                                                                                                                        </t>
  </si>
  <si>
    <t xml:space="preserve">REVISE URETHRA, STAGE 1                                                                                                                         </t>
  </si>
  <si>
    <t xml:space="preserve">REVISE URETHRA, STAGE 2                                                                                                                         </t>
  </si>
  <si>
    <t xml:space="preserve">RECONSTRUCTION OF URETHRA                                                                                                                       </t>
  </si>
  <si>
    <t xml:space="preserve">RECONSTRUCT URETHRA, STAGE 1                                                                                                                    </t>
  </si>
  <si>
    <t xml:space="preserve">RECONSTRUCT URETHRA, STAGE 2                                                                                                                    </t>
  </si>
  <si>
    <t xml:space="preserve">RECONSTRUCT URETHRA/BLADDER                                                                                                                     </t>
  </si>
  <si>
    <t xml:space="preserve">MALE SLING PROCEDURE                                                                                                                            </t>
  </si>
  <si>
    <t xml:space="preserve">REMOVE/REVISE MALE SLING                                                                                                                        </t>
  </si>
  <si>
    <t xml:space="preserve">INSERT TANDEM CUFF                                                                                                                              </t>
  </si>
  <si>
    <t xml:space="preserve">INSERT URO/VES NCK SPHINCTER                                                                                                                    </t>
  </si>
  <si>
    <t xml:space="preserve">REMOVE URO SPHINCTER                                                                                                                            </t>
  </si>
  <si>
    <t xml:space="preserve">REMOVE/REPLACE UR SPHINCTER                                                                                                                     </t>
  </si>
  <si>
    <t xml:space="preserve">REPAIR URO SPHINCTER                                                                                                                            </t>
  </si>
  <si>
    <t xml:space="preserve">REVISION OF URETHRA                                                                                                                             </t>
  </si>
  <si>
    <t xml:space="preserve">REPAIR OF URETHRA INJURY                                                                                                                        </t>
  </si>
  <si>
    <t xml:space="preserve">DILATE URETHRA STRICTURE                                                                                                                        </t>
  </si>
  <si>
    <t xml:space="preserve">DILATION OF URETHRA                                                                                                                             </t>
  </si>
  <si>
    <t xml:space="preserve">TRANSURETHRAL DESTRUCTION OF PROSTATE TISSUE; BY MICROWAVE THERAPY                                                                              </t>
  </si>
  <si>
    <t xml:space="preserve">SLITTING OF PREPUCE                                                                                                                             </t>
  </si>
  <si>
    <t xml:space="preserve">DRAIN PENIS LESION                                                                                                                              </t>
  </si>
  <si>
    <t xml:space="preserve">LASER SURG, PENIS LESION(S)                                                                                                                     </t>
  </si>
  <si>
    <t xml:space="preserve">EXCISION OF PENIS LESION(S)                                                                                                                     </t>
  </si>
  <si>
    <t xml:space="preserve">DESTRUCTION, PENIS LESION(S)                                                                                                                    </t>
  </si>
  <si>
    <t xml:space="preserve">BIOPSY OF PENIS                                                                                                                                 </t>
  </si>
  <si>
    <t xml:space="preserve">TREATMENT OF PENIS LESION                                                                                                                       </t>
  </si>
  <si>
    <t xml:space="preserve">TREAT PENIS LESION, GRAFT                                                                                                                       </t>
  </si>
  <si>
    <t xml:space="preserve">PARTIAL REMOVAL OF PENIS                                                                                                                        </t>
  </si>
  <si>
    <t xml:space="preserve">CIRCUMCISION W/REGIONL BLOCK                                                                                                                    </t>
  </si>
  <si>
    <t xml:space="preserve">CIRCUMCISION, NEONATE                                                                                                                           </t>
  </si>
  <si>
    <t xml:space="preserve">CIRCUM 28 DAYS OR OLDER                                                                                                                         </t>
  </si>
  <si>
    <t xml:space="preserve">LYSIS PENIL CIRCUMIC LESION                                                                                                                     </t>
  </si>
  <si>
    <t xml:space="preserve">REPAIR OF CIRCUMCISION                                                                                                                          </t>
  </si>
  <si>
    <t xml:space="preserve">FRENULOTOMY OF PENIS                                                                                                                            </t>
  </si>
  <si>
    <t xml:space="preserve">REVISION OF PENIS                                                                                                                               </t>
  </si>
  <si>
    <t xml:space="preserve">REVISE PENIS/URETHRA                                                                                                                            </t>
  </si>
  <si>
    <t xml:space="preserve">SECONDARY URETHRAL SURGERY                                                                                                                      </t>
  </si>
  <si>
    <t xml:space="preserve">RECONSTRUCT URETHRA/PENIS                                                                                                                       </t>
  </si>
  <si>
    <t xml:space="preserve">PENIS PLASTIC SURGERY                                                                                                                           </t>
  </si>
  <si>
    <t xml:space="preserve">REPAIR PENIS                                                                                                                                    </t>
  </si>
  <si>
    <t xml:space="preserve">INSERT SEMI-RIGID PROSTHESIS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</si>
  <si>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</si>
  <si>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INSERT SELF-CONTD PROSTHESIS                                                                                                                    </t>
  </si>
  <si>
    <t xml:space="preserve">INSERT MULTI-COMP PENIS PROS                                                                                                                    </t>
  </si>
  <si>
    <t xml:space="preserve">REMOVE MUTI-COMP PENIS PROS                                                                                                                     </t>
  </si>
  <si>
    <t xml:space="preserve">REPAIR MULTI-COMP PENIS PROS                                                                                                                    </t>
  </si>
  <si>
    <t xml:space="preserve">REMOVE/REPLACE PENIS PROSTH                                                                                                                     </t>
  </si>
  <si>
    <t xml:space="preserve">REMOVE SELF-CONTD PENIS PROS                                                                                                                    </t>
  </si>
  <si>
    <t xml:space="preserve">REMV/REPL PENIS CONTAIN PROS                                                                                                                    </t>
  </si>
  <si>
    <t xml:space="preserve">REPAIR OF PENIS                                                                                                                                 </t>
  </si>
  <si>
    <t xml:space="preserve">PREPUTIAL STRETCHING                                                                                                                            </t>
  </si>
  <si>
    <t xml:space="preserve">BIOPSY OF TESTIS                                                                                                                                </t>
  </si>
  <si>
    <t xml:space="preserve">EXCISE LESION TESTIS                                                                                                                            </t>
  </si>
  <si>
    <t xml:space="preserve">REMOVAL OF TESTIS                                                                                                                               </t>
  </si>
  <si>
    <t xml:space="preserve">ORCHIECTOMY, PARTIAL                                                                                                                            </t>
  </si>
  <si>
    <t xml:space="preserve">EXPLORATION FOR TESTIS                                                                                                                          </t>
  </si>
  <si>
    <t xml:space="preserve">REDUCE TESTIS TORSION                                                                                                                           </t>
  </si>
  <si>
    <t xml:space="preserve">SUSPENSION OF TESTIS                                                                                                                            </t>
  </si>
  <si>
    <t xml:space="preserve">REVISION OF TESTIS                                                                                                                              </t>
  </si>
  <si>
    <t xml:space="preserve">REPAIR TESTIS INJURY                                                                                                                            </t>
  </si>
  <si>
    <t xml:space="preserve">RELOCATION OF TESTIS(ES)                                                                                                                        </t>
  </si>
  <si>
    <t xml:space="preserve">LAPAROSCOPY, ORCHIECTOMY                                                                                                                        </t>
  </si>
  <si>
    <t xml:space="preserve">DRAINAGE OF SCROTUM                                                                                                                             </t>
  </si>
  <si>
    <t xml:space="preserve">BIOPSY OF EPIDIDYMIS                                                                                                                            </t>
  </si>
  <si>
    <t xml:space="preserve">REMOVE EPIDIDYMIS LESION                                                                                                                        </t>
  </si>
  <si>
    <t xml:space="preserve">REMOVAL OF EPIDIDYMIS                                                                                                                           </t>
  </si>
  <si>
    <t xml:space="preserve">EXPLORE EPIDIDYMIS                                                                                                                              </t>
  </si>
  <si>
    <t xml:space="preserve">FUSION OF SPERMATIC DUCTS                                                                                                                       </t>
  </si>
  <si>
    <t xml:space="preserve">REMOVAL OF HYDROCELE                                                                                                                            </t>
  </si>
  <si>
    <t xml:space="preserve">REMOVAL OF HYDROCELES                                                                                                                           </t>
  </si>
  <si>
    <t xml:space="preserve">REPAIR OF HYDROCELE                                                                                                                             </t>
  </si>
  <si>
    <t xml:space="preserve">DRAINAGE OF SCROTUM ABSCESS                                                                                                                     </t>
  </si>
  <si>
    <t xml:space="preserve">EXPLORE SCROTUM                                                                                                                                 </t>
  </si>
  <si>
    <t xml:space="preserve">REMOVAL OF SCROTUM LESION                                                                                                                       </t>
  </si>
  <si>
    <t xml:space="preserve">REMOVAL OF SCROTUM                                                                                                                              </t>
  </si>
  <si>
    <t xml:space="preserve">REVISION OF SCROTUM                                                                                                                             </t>
  </si>
  <si>
    <t xml:space="preserve">INCISION OF SPERM DUCT                                                                                                                          </t>
  </si>
  <si>
    <t xml:space="preserve">REMOVAL OF SPERM DUCT(S)                                                                                                                        </t>
  </si>
  <si>
    <t xml:space="preserve">REPAIR OF SPERM DUCT                                                                                                                            </t>
  </si>
  <si>
    <t xml:space="preserve">REMOVAL OF SPERM CORD LESION                                                                                                                    </t>
  </si>
  <si>
    <t xml:space="preserve">REVISE SPERMATIC CORD VEINS                                                                                                                     </t>
  </si>
  <si>
    <t xml:space="preserve">REVISE HERNIA &amp; SPERM VEINS                                                                                                                     </t>
  </si>
  <si>
    <t xml:space="preserve">LAPARO LIGATE SPERMATIC VEIN                                                                                                                    </t>
  </si>
  <si>
    <t xml:space="preserve">REMOVE SPERM POUCH LESION                                                                                                                       </t>
  </si>
  <si>
    <t xml:space="preserve">BIOPSY OF PROSTATE                                                                                                                              </t>
  </si>
  <si>
    <t xml:space="preserve">BIOPSY PROSTATE, NEED, TRANSPERINEAL                                                                                                            </t>
  </si>
  <si>
    <t xml:space="preserve">CRYOABLATE PROSTATE                                                                                                                             </t>
  </si>
  <si>
    <t xml:space="preserve">TRANSPERINEAL PLACEMENT OF BIODEGRADABLE MATERIAL, PERI-PROSTATIC, SINGLE OR MULT INJECTION (S); INCLUDING IMAGING GUIDANCE                     </t>
  </si>
  <si>
    <t xml:space="preserve">TRANSPERI NEEDLE PLACE, PROS                                                                                                                    </t>
  </si>
  <si>
    <t xml:space="preserve">SURGERY FOR VULVA LESION                                                                                                                        </t>
  </si>
  <si>
    <t xml:space="preserve">LYSIS OF LABIAL LESION(S)                                                                                                                       </t>
  </si>
  <si>
    <t xml:space="preserve">HYMENOTOMY                                                                                                                                      </t>
  </si>
  <si>
    <t xml:space="preserve">DESTROY VULVA LESION/S COMPL                                                                                                                    </t>
  </si>
  <si>
    <t xml:space="preserve">PARTIAL REMOVAL OF VULVA                                                                                                                        </t>
  </si>
  <si>
    <t xml:space="preserve">COMPLETE REMOVAL OF VULVA                                                                                                                       </t>
  </si>
  <si>
    <t xml:space="preserve">PARTIAL REMOVAL OF HYMEN                                                                                                                        </t>
  </si>
  <si>
    <t xml:space="preserve">REMOVE VAGINA GLAND LESION                                                                                                                      </t>
  </si>
  <si>
    <t xml:space="preserve">REPAIR OF VAGINA                                                                                                                                </t>
  </si>
  <si>
    <t xml:space="preserve">REPAIR OF PERINEUM                                                                                                                              </t>
  </si>
  <si>
    <t xml:space="preserve">EXPLORATION OF VAGINA                                                                                                                           </t>
  </si>
  <si>
    <t xml:space="preserve">DRAINAGE OF PELVIC FLUID                                                                                                                        </t>
  </si>
  <si>
    <t xml:space="preserve">I &amp; D VAG HEMATOMA, NON-OB                                                                                                                      </t>
  </si>
  <si>
    <t xml:space="preserve">DESTROY VAG LESIONS, COMPLEX                                                                                                                    </t>
  </si>
  <si>
    <t xml:space="preserve">BIOPSY OF VAGINA                                                                                                                                </t>
  </si>
  <si>
    <t xml:space="preserve">REMOVE VAGINA LESION                                                                                                                            </t>
  </si>
  <si>
    <t xml:space="preserve">INSERT UTERI TANDEMS/OVOIDS                                                                                                                     </t>
  </si>
  <si>
    <t xml:space="preserve">TREAT VAGINAL BLEEDING                                                                                                                          </t>
  </si>
  <si>
    <t xml:space="preserve">REPAIR VAGINA/PERINEUM                                                                                                                          </t>
  </si>
  <si>
    <t xml:space="preserve">REPAIR OF URETHRAL LESION                                                                                                                       </t>
  </si>
  <si>
    <t xml:space="preserve">REPAIR BLADDER &amp; VAGINA                                                                                                                         </t>
  </si>
  <si>
    <t xml:space="preserve">REPAIR RECTUM &amp; VAGINA                                                                                                                          </t>
  </si>
  <si>
    <t xml:space="preserve">EXTENSIVE REPAIR OF VAGINA                                                                                                                      </t>
  </si>
  <si>
    <t xml:space="preserve">INSERT MESH/PELVIC FLR ADDON                                                                                                                    </t>
  </si>
  <si>
    <t xml:space="preserve">REPAIR OF BOWEL BULGE                                                                                                                           </t>
  </si>
  <si>
    <t xml:space="preserve">REPAIR BLADDER DEFECT                                                                                                                           </t>
  </si>
  <si>
    <t xml:space="preserve">CONSTRUCTION OF VAGINA                                                                                                                          </t>
  </si>
  <si>
    <t xml:space="preserve">REPAIR RECTUM-VAGINA FISTULA                                                                                                                    </t>
  </si>
  <si>
    <t xml:space="preserve">DILATION OF VAGINA                                                                                                                              </t>
  </si>
  <si>
    <t xml:space="preserve">PELVIC EXAMINATION                                                                                                                              </t>
  </si>
  <si>
    <t xml:space="preserve">REMOVE VAGINAL FOREIGN BODY                                                                                                                     </t>
  </si>
  <si>
    <t xml:space="preserve">REVISE(INCL REMOVE) PROSTH VAGL GFT,LAP                                                                                                         </t>
  </si>
  <si>
    <t xml:space="preserve">LASER SURGERY OF CERVIX                                                                                                                         </t>
  </si>
  <si>
    <t xml:space="preserve">CONIZATION OF CERVIX                                                                                                                            </t>
  </si>
  <si>
    <t xml:space="preserve">REMOVAL OF CERVIX                                                                                                                               </t>
  </si>
  <si>
    <t xml:space="preserve">REMOVAL OF RESIDUAL CERVIX                                                                                                                      </t>
  </si>
  <si>
    <t xml:space="preserve">REMOVE CERVIX, REPAIR BOWEL                                                                                                                     </t>
  </si>
  <si>
    <t xml:space="preserve">D&amp;C OF CERVICAL STUMP                                                                                                                           </t>
  </si>
  <si>
    <t xml:space="preserve">REVISION OF CERVIX                                                                                                                              </t>
  </si>
  <si>
    <t xml:space="preserve">DILATION AND CURETTAGE                                                                                                                          </t>
  </si>
  <si>
    <t xml:space="preserve">MYOMECTOMY VAG METHOD                                                                                                                           </t>
  </si>
  <si>
    <t xml:space="preserve">INSERT HEYMAN UTERI CAPSULE                                                                                                                     </t>
  </si>
  <si>
    <t xml:space="preserve">REOPEN FALLOPIAN TUBE                                                                                                                           </t>
  </si>
  <si>
    <t xml:space="preserve">ENDOMETR ABLATE, THERMAL                                                                                                                        </t>
  </si>
  <si>
    <t xml:space="preserve">LAPAROSCOPIC MYOMECTOMY                                                                                                                         </t>
  </si>
  <si>
    <t xml:space="preserve">LAPARO-MYOMECTOMY, COMPLEX                                                                                                                      </t>
  </si>
  <si>
    <t xml:space="preserve">LAPARO-ASST VAG HYSTERECTOMY                                                                                                                    </t>
  </si>
  <si>
    <t xml:space="preserve">VAGINAL REMOVAL OF UTERUS (250 GRAMS OR LESS), TUBES, AND/OR OVARIES USING AN ENDOSCOPE                                                         </t>
  </si>
  <si>
    <t xml:space="preserve">HYSTEROSCOPY, DX, SEP PROC                                                                                                                      </t>
  </si>
  <si>
    <t xml:space="preserve">HYSTEROSCOPY, BIOPSY                                                                                                                            </t>
  </si>
  <si>
    <t xml:space="preserve">HYSTEROSCOPY, LYSIS                                                                                                                             </t>
  </si>
  <si>
    <t xml:space="preserve">HYSTEROSCOPY, RESECT SEPTUM                                                                                                                     </t>
  </si>
  <si>
    <t xml:space="preserve">HYSTEROSCOPY, REMOVE MYOMA                                                                                                                      </t>
  </si>
  <si>
    <t xml:space="preserve">HYSTEROSCOPY, REMOVE FB                                                                                                                         </t>
  </si>
  <si>
    <t xml:space="preserve">HYSTEROSCOPY, ABLATION                                                                                                                          </t>
  </si>
  <si>
    <t xml:space="preserve">HYSTEROSCOPY, STERILIZATION                                                                                                                     </t>
  </si>
  <si>
    <t xml:space="preserve">LIGATION OR TRANSECTION OF FALLOPIAN TUBES ABDOMINAL OR VAGINAL APPROACH UNILATERAL OR BILATERAL                                                </t>
  </si>
  <si>
    <t xml:space="preserve">LIGATION OR TRANSACTION OF FALLOPIAN TUBE ABDOMINAL OR VAGINAL APPROACH POSTPARTUM DURING SAME HOSPITALIZATION                                  </t>
  </si>
  <si>
    <t xml:space="preserve">LIGATION OR TRANSACTION OF FALLOPIAN TUBE(S) WHEN DONE AT THE TIME OF CESAREAN                                                                  </t>
  </si>
  <si>
    <t xml:space="preserve">OCCLUSION OF FALLOPIAN TUBES BY DEVICE VAGINAL OR SUPRAPUBIC APPROACH                                                                           </t>
  </si>
  <si>
    <t xml:space="preserve">LAPAROSCOPY, LYSIS                                                                                                                              </t>
  </si>
  <si>
    <t xml:space="preserve">LAPAROSCOPY, REMOVE ADNEXA                                                                                                                      </t>
  </si>
  <si>
    <t xml:space="preserve">LAPAROSCOPY, EXCISE LESIONS                                                                                                                     </t>
  </si>
  <si>
    <t xml:space="preserve">LAPAROSCOPY, TUBAL CAUTERY                                                                                                                      </t>
  </si>
  <si>
    <t xml:space="preserve">LAPAROSCOPY, TUBAL BLOCK                                                                                                                        </t>
  </si>
  <si>
    <t xml:space="preserve">LAPAROSCOPY, FIMBRIOPLASTY                                                                                                                      </t>
  </si>
  <si>
    <t xml:space="preserve">LAPAROSCOPY, SALPINGOSTOMY                                                                                                                      </t>
  </si>
  <si>
    <t xml:space="preserve">DRAINAGE OF OVARIAN CYST(S)                                                                                                                     </t>
  </si>
  <si>
    <t xml:space="preserve">DRAIN OVARY ABSCESS, OPEN                                                                                                                       </t>
  </si>
  <si>
    <t xml:space="preserve">BIOPSY OF OVARY(S)                                                                                                                              </t>
  </si>
  <si>
    <t xml:space="preserve">RETRIEVAL OF OOCYTE                                                                                                                             </t>
  </si>
  <si>
    <t xml:space="preserve">TRANSFER OF EMBRYO                                                                                                                              </t>
  </si>
  <si>
    <t xml:space="preserve">D&amp; C AFTER DELIVERY                                                                                                                             </t>
  </si>
  <si>
    <t xml:space="preserve">TREATMENT OF MISCARRIAGE                                                                                                                        </t>
  </si>
  <si>
    <t xml:space="preserve">CARE OF MISCARRIAGE                                                                                                                             </t>
  </si>
  <si>
    <t xml:space="preserve">ABORTION                                                                                                                                        </t>
  </si>
  <si>
    <t xml:space="preserve">EVACUATE MOLE OF UTERUS                                                                                                                         </t>
  </si>
  <si>
    <t xml:space="preserve">REMOVE CERCLAGE SUTURE                                                                                                                          </t>
  </si>
  <si>
    <t xml:space="preserve">DRAIN THYROID/TONGUE CYST                                                                                                                       </t>
  </si>
  <si>
    <t xml:space="preserve">REMOVE THYROID LESION                                                                                                                           </t>
  </si>
  <si>
    <t xml:space="preserve">REMOVE THYROID DUCT LESION                                                                                                                      </t>
  </si>
  <si>
    <t xml:space="preserve">REMOVE BRAIN CAVITY FLUID                                                                                                                       </t>
  </si>
  <si>
    <t xml:space="preserve">INJECTION INTO BRAIN CANAL                                                                                                                      </t>
  </si>
  <si>
    <t xml:space="preserve">REMOVE BRAIN CANAL FLUID                                                                                                                        </t>
  </si>
  <si>
    <t xml:space="preserve">BRAIN CANAL SHUNT PROCEDURE                                                                                                                     </t>
  </si>
  <si>
    <t xml:space="preserve">INSERT BRAIN-FLUID DEVICE                                                                                                                       </t>
  </si>
  <si>
    <t xml:space="preserve">TREAT TRIGEMINAL NERVE                                                                                                                          </t>
  </si>
  <si>
    <t xml:space="preserve">TREAT TRIGEMINAL TRACT                                                                                                                          </t>
  </si>
  <si>
    <t xml:space="preserve">INSRT/REDO NEUROSTIM 1 ARRAY                                                                                                                    </t>
  </si>
  <si>
    <t xml:space="preserve">IMPLANT NEUROSTIM ARRAYS                                                                                                                        </t>
  </si>
  <si>
    <t xml:space="preserve">REVISE/REMOVE NEURORECEIVER                                                                                                                     </t>
  </si>
  <si>
    <t xml:space="preserve">REPLACE/IRRIGATE CATHETER                                                                                                                       </t>
  </si>
  <si>
    <t xml:space="preserve">REPLACE/REVISE BRAIN SHUNT                                                                                                                      </t>
  </si>
  <si>
    <t xml:space="preserve">EPIDURAL LYSIS MULT SESSIONS                                                                                                                    </t>
  </si>
  <si>
    <t xml:space="preserve">EPIDURAL LYSIS ON SINGLE DAY                                                                                                                    </t>
  </si>
  <si>
    <t xml:space="preserve">DRAIN SPINAL CORD CYST                                                                                                                          </t>
  </si>
  <si>
    <t xml:space="preserve">NEEDLE BIOPSY, SPINAL CORD                                                                                                                      </t>
  </si>
  <si>
    <t xml:space="preserve">SPINAL FLUID TAP, DIAGNOSTIC                                                                                                                    </t>
  </si>
  <si>
    <t xml:space="preserve">DRAIN CEREBRO SPINAL FLUID                                                                                                                      </t>
  </si>
  <si>
    <t xml:space="preserve">INJECT EPIDURAL PATCH                                                                                                                           </t>
  </si>
  <si>
    <t xml:space="preserve">TREAT SPINAL CORD LESION                                                                                                                        </t>
  </si>
  <si>
    <t xml:space="preserve">TREAT SPINAL CANAL LESION                                                                                                                       </t>
  </si>
  <si>
    <t xml:space="preserve">PERCUTANEOUS DISKECTOMY                                                                                                                         </t>
  </si>
  <si>
    <t xml:space="preserve">INJECTION INTO SPINAL ARTERY                                                                                                                    </t>
  </si>
  <si>
    <t xml:space="preserve">INJECT SPINE C/T                                                                                                                                </t>
  </si>
  <si>
    <t xml:space="preserve">INJECTION SUBSTANCE INTO SPINAL CANAL OF UPPER OR MIDDLE BACK USING IMAGING GUIDANCE                                                            </t>
  </si>
  <si>
    <t xml:space="preserve">INJECT SPINE L/S                                                                                                                                </t>
  </si>
  <si>
    <t xml:space="preserve">INJECTION OF SUBSTANCE INTO SPINAL CANAL OF LOWER BACK OR SACRUM USING IMAGING GUIDANCE                                                         </t>
  </si>
  <si>
    <t xml:space="preserve">INJECT SPINE W/CATH, C/T                                                                                                                        </t>
  </si>
  <si>
    <t xml:space="preserve">INSERTION OF INDWELLING CATHETER AND ADMINISTRATION OF SUBSTANCE INTO SPINAL CANAL OF UPPER OR MIDDLE BACK                                      </t>
  </si>
  <si>
    <t xml:space="preserve">INJECT SPINE W/CATH, L/S                                                                                                                        </t>
  </si>
  <si>
    <t xml:space="preserve">INSERTION OF INDWELLING CATHETER AND ADMINISTRATION OF SUBSTANCE INTO SPINAL CANAL OF LOWER BACK USING IMAGING GUIDANCE                         </t>
  </si>
  <si>
    <t xml:space="preserve">IMPLANT SPINAL CANAL CATH                                                                                                                       </t>
  </si>
  <si>
    <t xml:space="preserve">REMOVE SPINAL CANAL CATHETER                                                                                                                    </t>
  </si>
  <si>
    <t xml:space="preserve">INSERT SPINE INFUSION DEVICE                                                                                                                    </t>
  </si>
  <si>
    <t xml:space="preserve">IMPLANT SPINE INFUSION PUMP                                                                                                                     </t>
  </si>
  <si>
    <t xml:space="preserve">REMOVE SPINE INFUSION DEVICE                                                                                                                    </t>
  </si>
  <si>
    <t xml:space="preserve">REMOVE SPINAL CORD LESION                                                                                                                       </t>
  </si>
  <si>
    <t xml:space="preserve">STIMULATION OF SPINAL CORD                                                                                                                      </t>
  </si>
  <si>
    <t xml:space="preserve">IMPLANT NEUROELECTRODES                                                                                                                         </t>
  </si>
  <si>
    <t xml:space="preserve">REMOVE SPINAL NEUROSTIM ELECTRD PERCUT                                                                                                          </t>
  </si>
  <si>
    <t xml:space="preserve">REMOV SPINE NEUROSTIM ELECT PLATE/PADL                                                                                                          </t>
  </si>
  <si>
    <t xml:space="preserve">REVISE SPINE NEUROSTIM ELECTRD PERCU                                                                                                            </t>
  </si>
  <si>
    <t xml:space="preserve">REVIS SPINE NEUROSTIM ELECT PLATE/PADL                                                                                                          </t>
  </si>
  <si>
    <t xml:space="preserve">INSRT/REDO SPINE N GENERATOR                                                                                                                    </t>
  </si>
  <si>
    <t xml:space="preserve">REVISION OF SPINAL SHUNT                                                                                                                        </t>
  </si>
  <si>
    <t xml:space="preserve">REMOVAL OF SPINAL SHUNT                                                                                                                         </t>
  </si>
  <si>
    <t xml:space="preserve">NBLOCK INJ, BRACHIAL PLEXUS                                                                                                                     </t>
  </si>
  <si>
    <t xml:space="preserve">NBLOCK INJ, AXILLARY                                                                                                                            </t>
  </si>
  <si>
    <t xml:space="preserve">NBLOCK INJ, INTERCOST, SNG                                                                                                                      </t>
  </si>
  <si>
    <t xml:space="preserve">NBLOCK INJ, INTERCOST, MLT                                                                                                                      </t>
  </si>
  <si>
    <t xml:space="preserve">NBLOCK INJ, PUDENDAL                                                                                                                            </t>
  </si>
  <si>
    <t xml:space="preserve">INJ FORAMEN EPIDURAL C/T                                                                                                                        </t>
  </si>
  <si>
    <t xml:space="preserve">INJ FORAMEN EPIDURAL ADD-ON                                                                                                                     </t>
  </si>
  <si>
    <t xml:space="preserve">INJ FORAMEN EPIDURAL L/S                                                                                                                        </t>
  </si>
  <si>
    <t xml:space="preserve">INJ, DX/THER, PARAVERT FACET JT, SGL LVL                                                                                                        </t>
  </si>
  <si>
    <t xml:space="preserve">INJECTION(S), DIAGNOSTIC OR THERAPEUTIC AGENT, PARAVERTEBRAL FACET (ZYGAPOPHYSEAL) JOINT (OR NERVES INNERVATING THAT JOINT) WITH IMAGE GUIDANCE </t>
  </si>
  <si>
    <t xml:space="preserve">INJ, DS/THER, PARAVERT FACET JT;SGL LVL                                                                                                         </t>
  </si>
  <si>
    <t xml:space="preserve">NBLOCK, STELLATE GANGLION                                                                                                                       </t>
  </si>
  <si>
    <t xml:space="preserve">NBLOCK INJ, HYPOGAS PLXS                                                                                                                        </t>
  </si>
  <si>
    <t xml:space="preserve">NBLOCK, LUMBAR/THORACIC                                                                                                                         </t>
  </si>
  <si>
    <t xml:space="preserve">NBLOCK INJ, CELIAC PELUS                                                                                                                        </t>
  </si>
  <si>
    <t xml:space="preserve">PERCUTANEOUS IMPLANT OF NEUROSTIM ELEC                                                                                                          </t>
  </si>
  <si>
    <t xml:space="preserve">REVISE/REMOVE NEUROELECTRODE                                                                                                                    </t>
  </si>
  <si>
    <t xml:space="preserve">INSRT/REDO PN/GASTR STIMUL                                                                                                                      </t>
  </si>
  <si>
    <t xml:space="preserve">REVISE/RMV PN/GASTR STIMUL                                                                                                                      </t>
  </si>
  <si>
    <t xml:space="preserve">INJECTION TREATMENT OF NERVE                                                                                                                    </t>
  </si>
  <si>
    <t xml:space="preserve">DESTR W/NEURO AGT;PLANTAR DIGT NERV                                                                                                             </t>
  </si>
  <si>
    <t>DESTRUCTION BY NEUROLYTIC AGENT, PARAVERTEBRAL FACET JOINT NERVE(S), W/ IMAGING GUIDANCE (FLUOROSCOPY OR CT); CERVICAL OR THORACIC, SING FACET J</t>
  </si>
  <si>
    <t xml:space="preserve">DESTRUCTION BY NEUROLYTIC AGENT, PARAVERTEBRAL FACET JOINT NERVE(S), W/ IMAGING RUIDANCE (FLUOROSCOPY OR CT); CERV OR THOR, EA ADD FACET JOINT  </t>
  </si>
  <si>
    <t xml:space="preserve">DESTRUCTION BY NEUROLYTIC AGENT, PARAVERTEBRAL FACET JOINT NERVE(S), W/ IMAGING GUIDANCE (FLUOROSCOPY OR CT); LUM OR SACRAL, SINGLE FACET JOINT </t>
  </si>
  <si>
    <t xml:space="preserve">DESTRUCTION BY NEUROLYTIC AGENT, PARAVERTEBRAL FACET JOINT NERVE(S), W/ IMAGING GUIDANCE (FLURO OR CT); LUMBAR OR SACRAL, EA ADD FACET JOINT    </t>
  </si>
  <si>
    <t xml:space="preserve">REVISE FINGER/TOE NERVE                                                                                                                         </t>
  </si>
  <si>
    <t xml:space="preserve">REVISE HAND/FOOT NERVE                                                                                                                          </t>
  </si>
  <si>
    <t xml:space="preserve">REVISE ARM/LEG NERVE                                                                                                                            </t>
  </si>
  <si>
    <t xml:space="preserve">REVISION OF SCIATIC NERVE                                                                                                                       </t>
  </si>
  <si>
    <t xml:space="preserve">REVISION OF ARM NERVE(S)                                                                                                                        </t>
  </si>
  <si>
    <t xml:space="preserve">REVISE LOW BACK NERVE(S)                                                                                                                        </t>
  </si>
  <si>
    <t xml:space="preserve">REVISION OF CRANIAL NERVE                                                                                                                       </t>
  </si>
  <si>
    <t xml:space="preserve">REVISE ULNAR NERVE AT ELBOW                                                                                                                     </t>
  </si>
  <si>
    <t xml:space="preserve">REVISE ULNAR NERVE AT WRIST                                                                                                                     </t>
  </si>
  <si>
    <t xml:space="preserve">CARPAL TUNNEL SURGERY                                                                                                                           </t>
  </si>
  <si>
    <t xml:space="preserve">RELIEVE PRESSURE ON NERVE(S)                                                                                                                    </t>
  </si>
  <si>
    <t xml:space="preserve">RELEASE FOOT/TOE NERVE                                                                                                                          </t>
  </si>
  <si>
    <t xml:space="preserve">INTERNAL NERVE REVISION                                                                                                                         </t>
  </si>
  <si>
    <t xml:space="preserve">INCISION OF BROW NERVE                                                                                                                          </t>
  </si>
  <si>
    <t xml:space="preserve">INCISION OF CHEEK NERVE                                                                                                                         </t>
  </si>
  <si>
    <t xml:space="preserve">INCISION OF CHIN NERVE                                                                                                                          </t>
  </si>
  <si>
    <t xml:space="preserve">INCISION OF JAW NERVE                                                                                                                           </t>
  </si>
  <si>
    <t xml:space="preserve">INCISION OF TONGUE NERVE                                                                                                                        </t>
  </si>
  <si>
    <t xml:space="preserve">INCISION OF FACIAL NERVE                                                                                                                        </t>
  </si>
  <si>
    <t xml:space="preserve">INCISE NERVE, BACK OF HEAD                                                                                                                      </t>
  </si>
  <si>
    <t xml:space="preserve">INCISE DIAPHRAGM NERVE                                                                                                                          </t>
  </si>
  <si>
    <t xml:space="preserve">SEVER CRANIAL NERVE                                                                                                                             </t>
  </si>
  <si>
    <t xml:space="preserve">INCISION OF SPINAL NERVE                                                                                                                        </t>
  </si>
  <si>
    <t xml:space="preserve">REMOVE SKIN NERVE LESION                                                                                                                        </t>
  </si>
  <si>
    <t xml:space="preserve">REMOVE DIGIT NERVE LESION                                                                                                                       </t>
  </si>
  <si>
    <t xml:space="preserve">DIGIT NERVE SURGERY ADD-ON                                                                                                                      </t>
  </si>
  <si>
    <t xml:space="preserve">REMOVE LIMB NERVE LESION                                                                                                                        </t>
  </si>
  <si>
    <t xml:space="preserve">LIMB NERVE SURGERY ADD-ON                                                                                                                       </t>
  </si>
  <si>
    <t xml:space="preserve">REMOVE NERVE LESION                                                                                                                             </t>
  </si>
  <si>
    <t xml:space="preserve">REMOVE SCIATIC NERVE LESION                                                                                                                     </t>
  </si>
  <si>
    <t xml:space="preserve">IMPLANT NERVE END                                                                                                                               </t>
  </si>
  <si>
    <t xml:space="preserve">REMOVAL OF NERVE LESION                                                                                                                         </t>
  </si>
  <si>
    <t xml:space="preserve">BIOPSY OF NERVE                                                                                                                                 </t>
  </si>
  <si>
    <t xml:space="preserve">REMOVE SYMPATHETIC NERVES                                                                                                                       </t>
  </si>
  <si>
    <t xml:space="preserve">REPAIR OF DIGIT NERVE                                                                                                                           </t>
  </si>
  <si>
    <t xml:space="preserve">REPAIR NERVE ADD-ON                                                                                                                             </t>
  </si>
  <si>
    <t xml:space="preserve">REPAIR OF HAND OR FOOT NERVE                                                                                                                    </t>
  </si>
  <si>
    <t xml:space="preserve">REPAIR OF LEG NERVE                                                                                                                             </t>
  </si>
  <si>
    <t xml:space="preserve">REPAIR/TRANSPOSE NERVE                                                                                                                          </t>
  </si>
  <si>
    <t xml:space="preserve">REPAIR ARM/LEG NERVE                                                                                                                            </t>
  </si>
  <si>
    <t xml:space="preserve">REPAIR SCIATIC NERVE                                                                                                                            </t>
  </si>
  <si>
    <t xml:space="preserve">NERVE SURGERY                                                                                                                                   </t>
  </si>
  <si>
    <t xml:space="preserve">REPAIR OF ARM NERVES                                                                                                                            </t>
  </si>
  <si>
    <t xml:space="preserve">REPAIR OF LOW BACK NERVES                                                                                                                       </t>
  </si>
  <si>
    <t xml:space="preserve">REPAIR OF FACIAL NERVE                                                                                                                          </t>
  </si>
  <si>
    <t xml:space="preserve">SUBSEQUENT REPAIR OF NERVE                                                                                                                      </t>
  </si>
  <si>
    <t xml:space="preserve">REPAIR &amp; REVISE NERVE ADD-ON                                                                                                                    </t>
  </si>
  <si>
    <t xml:space="preserve">REPAIR NERVE/SHORTEN BONE                                                                                                                       </t>
  </si>
  <si>
    <t xml:space="preserve">NERVE GRAFT, HEAD OR NECK                                                                                                                       </t>
  </si>
  <si>
    <t xml:space="preserve">NERVE GRAFT, HAND OR FOOT                                                                                                                       </t>
  </si>
  <si>
    <t xml:space="preserve">NERVE GRAFT, ARM OR LEG                                                                                                                         </t>
  </si>
  <si>
    <t xml:space="preserve">NERVE GRAFT ADD-ON                                                                                                                              </t>
  </si>
  <si>
    <t xml:space="preserve">NERVE PEDICLE TRANSFER                                                                                                                          </t>
  </si>
  <si>
    <t xml:space="preserve">REVISE EYE                                                                                                                                      </t>
  </si>
  <si>
    <t xml:space="preserve">REVISE EYE WITH IMPLANT                                                                                                                         </t>
  </si>
  <si>
    <t xml:space="preserve">REMOVAL OF EYE                                                                                                                                  </t>
  </si>
  <si>
    <t xml:space="preserve">REMOVE EYE/INSERT IMPLANT                                                                                                                       </t>
  </si>
  <si>
    <t xml:space="preserve">REMOVE EYE/ATTACH IMPLANT                                                                                                                       </t>
  </si>
  <si>
    <t xml:space="preserve">REMOVE EYE/REVISE SOCKET                                                                                                                        </t>
  </si>
  <si>
    <t xml:space="preserve">MODIFICATION OF OCULAR IMPLANT W/REPLACEMENT OR REPLACEMENT OF PEGS....                                                                         </t>
  </si>
  <si>
    <t xml:space="preserve">INSERT OCULAR IMPLANT                                                                                                                           </t>
  </si>
  <si>
    <t xml:space="preserve">ATTACH OCULAR IMPLANT                                                                                                                           </t>
  </si>
  <si>
    <t xml:space="preserve">REVISE OCULAR IMPLANT                                                                                                                           </t>
  </si>
  <si>
    <t xml:space="preserve">REINSERT OCULAR IMPLANT                                                                                                                         </t>
  </si>
  <si>
    <t xml:space="preserve">REMOVAL OF OCULAR IMPLANT                                                                                                                       </t>
  </si>
  <si>
    <t xml:space="preserve">REMOVE FOREIGN BODY FROM EYE                                                                                                                    </t>
  </si>
  <si>
    <t xml:space="preserve">REPAIR OF EYE WOUND                                                                                                                             </t>
  </si>
  <si>
    <t xml:space="preserve">REPAIR OF EYE SOCKET WOUND                                                                                                                      </t>
  </si>
  <si>
    <t xml:space="preserve">REMOVAL OF EYE LESION                                                                                                                           </t>
  </si>
  <si>
    <t xml:space="preserve">BIOPSY OF CORNEA                                                                                                                                </t>
  </si>
  <si>
    <t xml:space="preserve">CORNEAL TRANSPLANT                                                                                                                              </t>
  </si>
  <si>
    <t xml:space="preserve">KERATOPLASTY;ENDOTHELIAL                                                                                                                        </t>
  </si>
  <si>
    <t xml:space="preserve">REVISE CORNEA WITH IMPLANT                                                                                                                      </t>
  </si>
  <si>
    <t xml:space="preserve">CORRECTION OF ASTIGMATISM                                                                                                                       </t>
  </si>
  <si>
    <t xml:space="preserve">OCULAR RECONST, TRANSPLANT                                                                                                                      </t>
  </si>
  <si>
    <t xml:space="preserve">DRAINAGE OF EYE                                                                                                                                 </t>
  </si>
  <si>
    <t xml:space="preserve">RELIEVE INNER EYE PRESSURE                                                                                                                      </t>
  </si>
  <si>
    <t xml:space="preserve">INCISION OF EYE                                                                                                                                 </t>
  </si>
  <si>
    <t xml:space="preserve">INCISE INNER EYE ADHESIONS                                                                                                                      </t>
  </si>
  <si>
    <t xml:space="preserve">REMOVE EYE LESION                                                                                                                               </t>
  </si>
  <si>
    <t xml:space="preserve">REMOVE IMPLANT OF EYE                                                                                                                           </t>
  </si>
  <si>
    <t xml:space="preserve">REMOVE BLOOD CLOT FROM EYE                                                                                                                      </t>
  </si>
  <si>
    <t xml:space="preserve">INJECTION TREATMENT OF EYE                                                                                                                      </t>
  </si>
  <si>
    <t xml:space="preserve">GLAUCOMA SURGERY                                                                                                                                </t>
  </si>
  <si>
    <t xml:space="preserve">IMPLANT EYE SHUNT                                                                                                                               </t>
  </si>
  <si>
    <t xml:space="preserve">REVISE EYE SHUNT                                                                                                                                </t>
  </si>
  <si>
    <t xml:space="preserve">REPAIR/GRAFT EYE LESION                                                                                                                         </t>
  </si>
  <si>
    <t xml:space="preserve">FOLLOW-UP SURGERY OF EYE                                                                                                                        </t>
  </si>
  <si>
    <t xml:space="preserve">INCISION OF IRIS                                                                                                                                </t>
  </si>
  <si>
    <t xml:space="preserve">REMOVE IRIS AND LESION                                                                                                                          </t>
  </si>
  <si>
    <t xml:space="preserve">REMOVAL OF IRIS                                                                                                                                 </t>
  </si>
  <si>
    <t xml:space="preserve">REPAIR IRIS &amp; CILIARY BODY                                                                                                                      </t>
  </si>
  <si>
    <t xml:space="preserve">DESTRUCTION, CILIARY BODY                                                                                                                       </t>
  </si>
  <si>
    <t xml:space="preserve">CILIARY TRANSSLERAL THERAPY                                                                                                                     </t>
  </si>
  <si>
    <t xml:space="preserve">CILIARY ENDOSCOPIC ABLATION                                                                                                                     </t>
  </si>
  <si>
    <t xml:space="preserve">DISCISSION OF SECONDARY MEMBRANOUS CATARACT (AFTER CATARACT) WITH CORE  OSCLERAL SECTION K WIHT OR WITHOUT IRIDECTOMY(IRIDOCAPSULATOMY, ETC     </t>
  </si>
  <si>
    <t xml:space="preserve">AFTER CATARACT LASER SURGERY                                                                                                                    </t>
  </si>
  <si>
    <t xml:space="preserve">REPOSITION INTRAOCULAR LENS                                                                                                                     </t>
  </si>
  <si>
    <t xml:space="preserve">REMOVAL OF LENS LESION                                                                                                                          </t>
  </si>
  <si>
    <t xml:space="preserve">REMOVAL OF LENS MATERIAL                                                                                                                        </t>
  </si>
  <si>
    <t xml:space="preserve">EXTRACTION OF LENS                                                                                                                              </t>
  </si>
  <si>
    <t xml:space="preserve">CATARACT SURGERY, COMPLEX                                                                                                                       </t>
  </si>
  <si>
    <t xml:space="preserve">CATARACT SURG W/IOL, 1 STAGE                                                                                                                    </t>
  </si>
  <si>
    <t xml:space="preserve">INSERT LENS PROSTHESIS                                                                                                                          </t>
  </si>
  <si>
    <t xml:space="preserve">EXCHANGE LENS PROSTHESIS                                                                                                                        </t>
  </si>
  <si>
    <t xml:space="preserve">PARTIAL REMOVAL OF EYE FLUID                                                                                                                    </t>
  </si>
  <si>
    <t xml:space="preserve">RELEASE OF EYE FLUID                                                                                                                            </t>
  </si>
  <si>
    <t xml:space="preserve">REPLACE EYE FLUID                                                                                                                               </t>
  </si>
  <si>
    <t xml:space="preserve">IMPLANT EYE DRUG SYSTEM                                                                                                                         </t>
  </si>
  <si>
    <t xml:space="preserve">INCISE INNER EYE STRANDS                                                                                                                        </t>
  </si>
  <si>
    <t xml:space="preserve">LASER SURGERY, EYE STRANDS                                                                                                                      </t>
  </si>
  <si>
    <t xml:space="preserve">REMOVAL OF INNER EYE FLUID                                                                                                                      </t>
  </si>
  <si>
    <t xml:space="preserve">LASER TREATMENT OF RETINA                                                                                                                       </t>
  </si>
  <si>
    <t xml:space="preserve">VITRECTOMY, MECHANICAL, PARS PLANA APPROACH; WITH REMOVAL OF PRERETINAL CELLULAR MEMBRANE (EG, MACULAR PUCKER)                                  </t>
  </si>
  <si>
    <t>VITRECTOMY, MECHANICAL, PARS PLANA APPROACH; WITH REMOVAL OF INTERNAL LIMINATING MEMBRANE OF RETINA (EG, FOR REPIAR OF MACULAR HOLE, DIABETIC MA</t>
  </si>
  <si>
    <t xml:space="preserve">VITRECTOMY, MECHANICAL, PARS PLANA APPROACH; WITH REMOVAL OF SUBRETINAL MEMBRANE (EG, CHROIDAL NEOVASCULARIZATION), INCLUDES IF PERFO           </t>
  </si>
  <si>
    <t xml:space="preserve">REPAIR OF DETACHED RETINA, 1 OR MORE SESSIONS                                                                                                   </t>
  </si>
  <si>
    <t xml:space="preserve">REPAIR DETACHED RETINA                                                                                                                          </t>
  </si>
  <si>
    <t xml:space="preserve">BY INJECTION OF AIR OR OTHER GAS (EG, PNEUMATIC RETINOPEXY)             </t>
  </si>
  <si>
    <t xml:space="preserve">REPAIR OF COMPLEX RETINAL DETACH (EG, PROLIFERATIVE VITREORETINOPATHY,STAGE C-1 OR GREATER, DIABETIC TRACTION RETINAL DETACHMENT, RETINAL       </t>
  </si>
  <si>
    <t xml:space="preserve">RELEASE ENCIRCLING MATERIAL                                                                                                                     </t>
  </si>
  <si>
    <t xml:space="preserve">REMOVE EYE IMPLANT MATERIAL                                                                                                                     </t>
  </si>
  <si>
    <t xml:space="preserve">TREATMENT OF RETINA                                                                                                                             </t>
  </si>
  <si>
    <t xml:space="preserve">TREATMENT OF RETINAL LESION                                                                                                                     </t>
  </si>
  <si>
    <t xml:space="preserve">REINFORCE EYE WALL                                                                                                                              </t>
  </si>
  <si>
    <t xml:space="preserve">REINFORCE/GRAFT EYE WALL                                                                                                                        </t>
  </si>
  <si>
    <t xml:space="preserve">REVISE EYE MUSCLE                                                                                                                               </t>
  </si>
  <si>
    <t xml:space="preserve">REVISE TWO EYE MUSCLES                                                                                                                          </t>
  </si>
  <si>
    <t xml:space="preserve">REVISE EYE MUSCLE(S)                                                                                                                            </t>
  </si>
  <si>
    <t xml:space="preserve">REVISE EYE MUSCLE(S) ADD-ON                                                                                                                     </t>
  </si>
  <si>
    <t xml:space="preserve">EYE SURGERY FOLLOW-UP ADD-ON                                                                                                                    </t>
  </si>
  <si>
    <t xml:space="preserve">REREVISE EYE MUSCLES ADD-ON                                                                                                                     </t>
  </si>
  <si>
    <t xml:space="preserve">REVISE EYE MUSCLE W/SUTURE                                                                                                                      </t>
  </si>
  <si>
    <t xml:space="preserve">EYE SUTURE DURING SURGERY                                                                                                                       </t>
  </si>
  <si>
    <t xml:space="preserve">REVISE EYE MUSCLE ADD-ON                                                                                                                        </t>
  </si>
  <si>
    <t xml:space="preserve">RELEASE EYE TISSUE                                                                                                                              </t>
  </si>
  <si>
    <t xml:space="preserve">BIOPSY, EYE MUSCLE                                                                                                                              </t>
  </si>
  <si>
    <t xml:space="preserve">EXPLORE/BIOPSY EYE SOCKET                                                                                                                       </t>
  </si>
  <si>
    <t xml:space="preserve">EXPLORE/DRAIN EYE SOCKET                                                                                                                        </t>
  </si>
  <si>
    <t xml:space="preserve">EXPLORE/TREAT EYE SOCKET                                                                                                                        </t>
  </si>
  <si>
    <t xml:space="preserve">ASPIRATION, ORBITAL CONTENTS                                                                                                                    </t>
  </si>
  <si>
    <t xml:space="preserve">EXPLR/DECOMPRESS EYE SOCKET                                                                                                                     </t>
  </si>
  <si>
    <t xml:space="preserve">INSERT EYE SOCKET IMPLANT                                                                                                                       </t>
  </si>
  <si>
    <t xml:space="preserve">REVISE EYE SOCKET IMPLANT                                                                                                                       </t>
  </si>
  <si>
    <t xml:space="preserve">DECOMPRESS OPTIC NERVE                                                                                                                          </t>
  </si>
  <si>
    <t xml:space="preserve">INCISION OF EYELID FOLD                                                                                                                         </t>
  </si>
  <si>
    <t xml:space="preserve">REMOVE EYELID LESION(S)                                                                                                                         </t>
  </si>
  <si>
    <t xml:space="preserve">REVISE EYELASHES                                                                                                                                </t>
  </si>
  <si>
    <t xml:space="preserve">REPAIR BROW DEFECT                                                                                                                              </t>
  </si>
  <si>
    <t xml:space="preserve">REPAIR EYELID DEFECT                                                                                                                            </t>
  </si>
  <si>
    <t xml:space="preserve">REVISE EYELID DEFECT                                                                                                                            </t>
  </si>
  <si>
    <t xml:space="preserve">CORRECTION EYELID W/IMPLANT                                                                                                                     </t>
  </si>
  <si>
    <t xml:space="preserve">REPAIR EYELID WOUND                                                                                                                             </t>
  </si>
  <si>
    <t xml:space="preserve">RECONSTRUCTION OF EYELID                                                                                                                        </t>
  </si>
  <si>
    <t xml:space="preserve">REMOVE EYELID LINING LESION                                                                                                                     </t>
  </si>
  <si>
    <t xml:space="preserve">REVISE/GRAFT EYELID LINING                                                                                                                      </t>
  </si>
  <si>
    <t xml:space="preserve">REVISE EYELID LINING                                                                                                                            </t>
  </si>
  <si>
    <t xml:space="preserve">SEPARATE EYELID ADHESIONS                                                                                                                       </t>
  </si>
  <si>
    <t xml:space="preserve">HARVEST EYE TISSUE, ALOGRAFT                                                                                                                    </t>
  </si>
  <si>
    <t xml:space="preserve">REMOVAL OF TEAR GLAND                                                                                                                           </t>
  </si>
  <si>
    <t xml:space="preserve">PARTIAL REMOVAL, TEAR GLAND                                                                                                                     </t>
  </si>
  <si>
    <t xml:space="preserve">BIOPSY OF TEAR GLAND                                                                                                                            </t>
  </si>
  <si>
    <t xml:space="preserve">REMOVAL OF TEAR SAC                                                                                                                             </t>
  </si>
  <si>
    <t xml:space="preserve">BIOPSY OF TEAR SAC                                                                                                                              </t>
  </si>
  <si>
    <t xml:space="preserve">REMOVE TEAR GLAND LESION                                                                                                                        </t>
  </si>
  <si>
    <t xml:space="preserve">REPAIR TEAR DUCTS                                                                                                                               </t>
  </si>
  <si>
    <t xml:space="preserve">CREATE TEAR SAC DRAIN                                                                                                                           </t>
  </si>
  <si>
    <t xml:space="preserve">CREATE TEAR DUCT DRAIN                                                                                                                          </t>
  </si>
  <si>
    <t xml:space="preserve">CLOSE TEAR SYSTEM FISTULA                                                                                                                       </t>
  </si>
  <si>
    <t xml:space="preserve">PROBE NASOLACRIMAL DUCT                                                                                                                         </t>
  </si>
  <si>
    <t xml:space="preserve">PROBING OF NASALACRIMAL DUCT, WITH OR WITHOUT IRRIGATION; WITHOUT IRRIGATION; WITH TRANSLUMINAL BALLOON CATHETER DILATATION                     </t>
  </si>
  <si>
    <t xml:space="preserve">REMOVE EXTERNAL EAR, PARTIAL                                                                                                                    </t>
  </si>
  <si>
    <t xml:space="preserve">REMOVAL OF EXTERNAL EAR                                                                                                                         </t>
  </si>
  <si>
    <t xml:space="preserve">REMOVE EAR CANAL LESION(S)                                                                                                                      </t>
  </si>
  <si>
    <t xml:space="preserve">EXTENSIVE EAR CANAL SURGERY                                                                                                                     </t>
  </si>
  <si>
    <t xml:space="preserve">CLEAR OUTER EAR CANAL                                                                                                                           </t>
  </si>
  <si>
    <t xml:space="preserve">REVISE EXTERNAL EAR                                                                                                                             </t>
  </si>
  <si>
    <t xml:space="preserve">REBUILD OUTER EAR CANAL                                                                                                                         </t>
  </si>
  <si>
    <t xml:space="preserve">INCISION OF EARDRUM                                                                                                                             </t>
  </si>
  <si>
    <t xml:space="preserve">CREATE EARDRUM OPENING                                                                                                                          </t>
  </si>
  <si>
    <t xml:space="preserve">EXPLORATION OF MIDDLE EAR                                                                                                                       </t>
  </si>
  <si>
    <t xml:space="preserve">EARDRUM REVISION                                                                                                                                </t>
  </si>
  <si>
    <t xml:space="preserve">MASTOIDECTOMY                                                                                                                                   </t>
  </si>
  <si>
    <t xml:space="preserve">REMOVE MASTOID STRUCTURES                                                                                                                       </t>
  </si>
  <si>
    <t xml:space="preserve">EXTENSIVE MASTOID SURGERY                                                                                                                       </t>
  </si>
  <si>
    <t xml:space="preserve">REMOVE EAR LESION                                                                                                                               </t>
  </si>
  <si>
    <t xml:space="preserve">MASTOID SURGERY REVISION                                                                                                                        </t>
  </si>
  <si>
    <t xml:space="preserve">TYMPANIC MEMBRANE REPAIR, WITH OR WITHOUT SITE PREPARATION OR PERFORATION PREPARATION FOR CLOSURE WITHOUT PATCH                                 </t>
  </si>
  <si>
    <t xml:space="preserve">REPAIR OF EARDRUM                                                                                                                               </t>
  </si>
  <si>
    <t xml:space="preserve">REPAIR EARDRUM STRUCTURES                                                                                                                       </t>
  </si>
  <si>
    <t xml:space="preserve">REBUILD EARDRUM STRUCTURES                                                                                                                      </t>
  </si>
  <si>
    <t xml:space="preserve">REVISE MIDDLE EAR &amp; MASTOID                                                                                                                     </t>
  </si>
  <si>
    <t xml:space="preserve">RELEASE MIDDLE EAR BONE                                                                                                                         </t>
  </si>
  <si>
    <t xml:space="preserve">REVISE MIDDLE EAR BONE                                                                                                                          </t>
  </si>
  <si>
    <t xml:space="preserve">REPAIR MIDDLE EAR STRUCTURES                                                                                                                    </t>
  </si>
  <si>
    <t xml:space="preserve">REMOVE MASTOID AIR CELLS                                                                                                                        </t>
  </si>
  <si>
    <t xml:space="preserve">REMOVE MIDDLE EAR NERVE                                                                                                                         </t>
  </si>
  <si>
    <t xml:space="preserve">CLOSE MASTOID FISTULA                                                                                                                           </t>
  </si>
  <si>
    <t xml:space="preserve">REMOVE/REPAIR HEARING AID                                                                                                                       </t>
  </si>
  <si>
    <t xml:space="preserve">IMPLANT TEMPLE BONE W/STIMUL                                                                                                                    </t>
  </si>
  <si>
    <t xml:space="preserve">TEMPLE BONE IMPLANT REVISION                                                                                                                    </t>
  </si>
  <si>
    <t xml:space="preserve">RELEASE FACIAL NERVE                                                                                                                            </t>
  </si>
  <si>
    <t xml:space="preserve">REPAIR FACIAL NERVE                                                                                                                             </t>
  </si>
  <si>
    <t xml:space="preserve">INCISE INNER EAR                                                                                                                                </t>
  </si>
  <si>
    <t xml:space="preserve">EXPLORE INNER EAR                                                                                                                               </t>
  </si>
  <si>
    <t xml:space="preserve">REMOVE INNER EAR                                                                                                                                </t>
  </si>
  <si>
    <t xml:space="preserve">REMOVE INNER EAR &amp; MASTOID                                                                                                                      </t>
  </si>
  <si>
    <t xml:space="preserve">INCISE INNER EAR NERVE                                                                                                                          </t>
  </si>
  <si>
    <t xml:space="preserve">IMPLANT COCHLEAR DEVICE                                                                                                                         </t>
  </si>
  <si>
    <t>PROVIDERS MAY NOTICE A MINOR DIFFERENCE BETWEEN THE PUBLISHED PAYMENT AMOUNT ON THE FEE SCHEDULE</t>
  </si>
  <si>
    <t xml:space="preserve">AND THE ACTUAL PAYMENT AMOUNT.  THE PAYMENT SYSTEM USES SEVEN DECIMAL PLACES IN THE REIMBURSEMENT </t>
  </si>
  <si>
    <t xml:space="preserve">CALCULATION, BUT THE FEE SCHEDULE PUBLISHES ONLY THE FIRST TWO DECIMAL PLACES. </t>
  </si>
  <si>
    <t>NEBRASKA MEDICAID FEE SCHEDULE, ASC JULY 1, 2023</t>
  </si>
  <si>
    <t>471-000-409</t>
  </si>
  <si>
    <t>IC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</si>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</sst>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10" xfId="0" applyBorder="1"/>
    <xf numFmtId="0" fontId="18" fillId="0" borderId="10" xfId="0" applyFont="1" applyBorder="1"/>
    <xf numFmtId="8" fontId="18" fillId="0" borderId="10" xfId="0" applyNumberFormat="1" applyFont="1" applyBorder="1"/>
    <xf numFmtId="0" fontId="18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10" xfId="0" applyBorder="1" applyAlignment="1">
      <alignment wrapText="1"/>
    </xf>
    <xf numFmtId="0" fontId="18" fillId="0" borderId="15" xfId="0" applyFont="1" applyBorder="1"/>
    <xf numFmtId="0" fontId="18" fillId="0" borderId="10" xfId="0" applyFont="1" applyBorder="1" applyAlignment="1">
      <alignment horizontal="right"/>
    </xf>
    <xf numFmtId="0" fontId="18" fillId="33" borderId="10" xfId="0" applyFont="1" applyFill="1" applyBorder="1"/>
    <xf numFmtId="0" fontId="18" fillId="33" borderId="10" xfId="0" applyFont="1" applyFill="1" applyBorder="1" applyAlignment="1">
      <alignment wrapText="1"/>
    </xf>
    <xf numFmtId="0" fontId="18" fillId="33" borderId="16" xfId="0" applyFont="1" applyFill="1" applyBorder="1"/>
    <xf numFmtId="0" fontId="0" fillId="33" borderId="17" xfId="0" applyFill="1" applyBorder="1"/>
    <xf numFmtId="8" fontId="18" fillId="0" borderId="18" xfId="0" applyNumberFormat="1" applyFont="1" applyBorder="1"/>
    <xf numFmtId="8" fontId="18" fillId="0" borderId="19" xfId="0" applyNumberFormat="1" applyFont="1" applyBorder="1"/>
    <xf numFmtId="0" fontId="18" fillId="33" borderId="2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26"/>
  <sheetViews>
    <sheetView tabSelected="1" workbookViewId="0">
      <selection activeCell="Q9" sqref="Q9"/>
    </sheetView>
  </sheetViews>
  <sheetFormatPr defaultRowHeight="15" x14ac:dyDescent="0.25"/>
  <cols>
    <col min="1" max="1" width="11" customWidth="1"/>
    <col min="2" max="2" width="6.7109375" customWidth="1"/>
    <col min="3" max="3" width="35.28515625" style="5" customWidth="1"/>
    <col min="4" max="4" width="4.7109375" style="5" customWidth="1"/>
    <col min="5" max="5" width="22.5703125" style="5" customWidth="1"/>
    <col min="7" max="7" width="16.7109375" customWidth="1"/>
    <col min="8" max="8" width="15.5703125" customWidth="1"/>
  </cols>
  <sheetData>
    <row r="1" spans="1:14" x14ac:dyDescent="0.25">
      <c r="A1" s="6" t="s">
        <v>1776</v>
      </c>
      <c r="B1" s="7"/>
      <c r="C1" s="7"/>
      <c r="D1" s="6"/>
      <c r="E1" s="6"/>
      <c r="F1" s="8"/>
      <c r="H1" s="9"/>
    </row>
    <row r="2" spans="1:14" x14ac:dyDescent="0.25">
      <c r="A2" t="s">
        <v>1777</v>
      </c>
      <c r="B2" s="5"/>
      <c r="D2"/>
      <c r="E2"/>
      <c r="F2" s="10"/>
      <c r="H2" s="9"/>
    </row>
    <row r="3" spans="1:14" x14ac:dyDescent="0.25">
      <c r="A3" s="11" t="s">
        <v>1778</v>
      </c>
      <c r="B3" s="12"/>
      <c r="C3" s="12"/>
      <c r="D3" s="11"/>
      <c r="E3" s="11"/>
      <c r="H3" s="9"/>
    </row>
    <row r="4" spans="1:14" x14ac:dyDescent="0.25">
      <c r="A4" s="1"/>
      <c r="B4" s="1"/>
      <c r="C4" s="13"/>
      <c r="D4" s="14"/>
      <c r="E4" s="14"/>
      <c r="F4" s="1"/>
      <c r="G4" s="1"/>
      <c r="H4" s="9"/>
    </row>
    <row r="5" spans="1:14" x14ac:dyDescent="0.25">
      <c r="A5" s="2" t="s">
        <v>1782</v>
      </c>
      <c r="B5" s="2"/>
      <c r="C5" s="15" t="s">
        <v>1779</v>
      </c>
      <c r="D5" s="4"/>
      <c r="E5" s="4"/>
      <c r="F5" s="2"/>
      <c r="G5" s="2"/>
      <c r="H5" s="16"/>
    </row>
    <row r="6" spans="1:14" x14ac:dyDescent="0.25">
      <c r="A6" s="2"/>
      <c r="B6" s="2"/>
      <c r="C6" s="4" t="s">
        <v>1780</v>
      </c>
      <c r="D6" s="4"/>
      <c r="E6" s="4"/>
      <c r="F6" s="2"/>
      <c r="G6" s="2"/>
      <c r="H6" s="16"/>
    </row>
    <row r="7" spans="1:14" x14ac:dyDescent="0.25">
      <c r="A7" s="2" t="s">
        <v>0</v>
      </c>
      <c r="B7" s="2" t="s">
        <v>0</v>
      </c>
      <c r="C7" s="4" t="s">
        <v>0</v>
      </c>
      <c r="D7" s="4" t="s">
        <v>0</v>
      </c>
      <c r="E7" s="4" t="s">
        <v>0</v>
      </c>
      <c r="F7" s="2" t="s">
        <v>0</v>
      </c>
      <c r="G7" s="2" t="s">
        <v>1</v>
      </c>
      <c r="H7" s="2" t="s">
        <v>2</v>
      </c>
    </row>
    <row r="8" spans="1:14" x14ac:dyDescent="0.25">
      <c r="A8" s="2" t="s">
        <v>3</v>
      </c>
      <c r="B8" s="2" t="s">
        <v>4</v>
      </c>
      <c r="C8" s="4" t="s">
        <v>5</v>
      </c>
      <c r="D8" s="4" t="s">
        <v>6</v>
      </c>
      <c r="E8" s="4" t="s">
        <v>7</v>
      </c>
      <c r="F8" s="2" t="s">
        <v>8</v>
      </c>
      <c r="G8" s="2" t="s">
        <v>9</v>
      </c>
      <c r="H8" s="2" t="s">
        <v>10</v>
      </c>
    </row>
    <row r="9" spans="1:14" ht="72" x14ac:dyDescent="0.25">
      <c r="A9" s="2" t="str">
        <f>"000C9779"</f>
        <v>000C9779</v>
      </c>
      <c r="B9" s="2" t="str">
        <f>"SG"</f>
        <v>SG</v>
      </c>
      <c r="C9" s="4" t="s">
        <v>11</v>
      </c>
      <c r="D9" s="4" t="s">
        <v>0</v>
      </c>
      <c r="E9" s="4" t="s">
        <v>12</v>
      </c>
      <c r="F9" s="2" t="s">
        <v>0</v>
      </c>
      <c r="G9" s="2" t="str">
        <f>"04"</f>
        <v>04</v>
      </c>
      <c r="H9" s="3">
        <v>785</v>
      </c>
    </row>
    <row r="10" spans="1:14" ht="29.25" x14ac:dyDescent="0.25">
      <c r="A10" s="2" t="str">
        <f>"000G0105"</f>
        <v>000G0105</v>
      </c>
      <c r="B10" s="2" t="str">
        <f>"SG"</f>
        <v>SG</v>
      </c>
      <c r="C10" s="4" t="s">
        <v>13</v>
      </c>
      <c r="D10" s="4" t="s">
        <v>0</v>
      </c>
      <c r="E10" s="4" t="s">
        <v>12</v>
      </c>
      <c r="F10" s="2" t="s">
        <v>0</v>
      </c>
      <c r="G10" s="2" t="str">
        <f>"01"</f>
        <v>01</v>
      </c>
      <c r="H10" s="3">
        <v>413</v>
      </c>
    </row>
    <row r="11" spans="1:14" ht="29.25" x14ac:dyDescent="0.25">
      <c r="A11" s="2" t="str">
        <f>"000G0121"</f>
        <v>000G0121</v>
      </c>
      <c r="B11" s="2" t="str">
        <f>"SG"</f>
        <v>SG</v>
      </c>
      <c r="C11" s="4" t="s">
        <v>14</v>
      </c>
      <c r="D11" s="4" t="s">
        <v>0</v>
      </c>
      <c r="E11" s="4" t="s">
        <v>12</v>
      </c>
      <c r="F11" s="2" t="s">
        <v>0</v>
      </c>
      <c r="G11" s="2" t="str">
        <f>"01"</f>
        <v>01</v>
      </c>
      <c r="H11" s="21">
        <v>413</v>
      </c>
    </row>
    <row r="12" spans="1:14" ht="43.5" x14ac:dyDescent="0.25">
      <c r="A12" s="17" t="str">
        <f>"000V2785"</f>
        <v>000V2785</v>
      </c>
      <c r="B12" s="17" t="str">
        <f>"  "</f>
        <v xml:space="preserve">  </v>
      </c>
      <c r="C12" s="18" t="s">
        <v>15</v>
      </c>
      <c r="D12" s="18" t="s">
        <v>0</v>
      </c>
      <c r="E12" s="18" t="s">
        <v>1781</v>
      </c>
      <c r="F12" s="17" t="s">
        <v>0</v>
      </c>
      <c r="G12" s="19" t="str">
        <f>"  "</f>
        <v xml:space="preserve">  </v>
      </c>
      <c r="H12" s="17" t="s">
        <v>1781</v>
      </c>
      <c r="I12" s="23"/>
      <c r="J12" s="20"/>
      <c r="K12" s="20"/>
      <c r="L12" s="20"/>
      <c r="M12" s="20"/>
      <c r="N12" s="20"/>
    </row>
    <row r="13" spans="1:14" x14ac:dyDescent="0.25">
      <c r="A13" s="2" t="str">
        <f>"00010121"</f>
        <v>00010121</v>
      </c>
      <c r="B13" s="2" t="str">
        <f t="shared" ref="B13:B76" si="0">"SG"</f>
        <v>SG</v>
      </c>
      <c r="C13" s="4" t="s">
        <v>17</v>
      </c>
      <c r="D13" s="4" t="s">
        <v>0</v>
      </c>
      <c r="E13" s="4" t="s">
        <v>12</v>
      </c>
      <c r="F13" s="2" t="s">
        <v>0</v>
      </c>
      <c r="G13" s="2" t="str">
        <f>"02"</f>
        <v>02</v>
      </c>
      <c r="H13" s="22">
        <v>552</v>
      </c>
    </row>
    <row r="14" spans="1:14" ht="29.25" x14ac:dyDescent="0.25">
      <c r="A14" s="2" t="str">
        <f>"00010180"</f>
        <v>00010180</v>
      </c>
      <c r="B14" s="2" t="str">
        <f t="shared" si="0"/>
        <v>SG</v>
      </c>
      <c r="C14" s="4" t="s">
        <v>18</v>
      </c>
      <c r="D14" s="4" t="s">
        <v>0</v>
      </c>
      <c r="E14" s="4" t="s">
        <v>12</v>
      </c>
      <c r="F14" s="2" t="s">
        <v>0</v>
      </c>
      <c r="G14" s="2" t="str">
        <f>"02"</f>
        <v>02</v>
      </c>
      <c r="H14" s="3">
        <v>552</v>
      </c>
    </row>
    <row r="15" spans="1:14" x14ac:dyDescent="0.25">
      <c r="A15" s="2" t="str">
        <f>"00011010"</f>
        <v>00011010</v>
      </c>
      <c r="B15" s="2" t="str">
        <f t="shared" si="0"/>
        <v>SG</v>
      </c>
      <c r="C15" s="4" t="s">
        <v>19</v>
      </c>
      <c r="D15" s="4" t="s">
        <v>0</v>
      </c>
      <c r="E15" s="4" t="s">
        <v>12</v>
      </c>
      <c r="F15" s="2" t="s">
        <v>0</v>
      </c>
      <c r="G15" s="2" t="str">
        <f t="shared" ref="G15:G25" si="1">"01"</f>
        <v>01</v>
      </c>
      <c r="H15" s="3">
        <v>413</v>
      </c>
    </row>
    <row r="16" spans="1:14" x14ac:dyDescent="0.25">
      <c r="A16" s="2" t="str">
        <f>"00011011"</f>
        <v>00011011</v>
      </c>
      <c r="B16" s="2" t="str">
        <f t="shared" si="0"/>
        <v>SG</v>
      </c>
      <c r="C16" s="4" t="s">
        <v>20</v>
      </c>
      <c r="D16" s="4" t="s">
        <v>0</v>
      </c>
      <c r="E16" s="4" t="s">
        <v>12</v>
      </c>
      <c r="F16" s="2" t="s">
        <v>0</v>
      </c>
      <c r="G16" s="2" t="str">
        <f t="shared" si="1"/>
        <v>01</v>
      </c>
      <c r="H16" s="3">
        <v>413</v>
      </c>
    </row>
    <row r="17" spans="1:8" ht="29.25" x14ac:dyDescent="0.25">
      <c r="A17" s="2" t="str">
        <f>"00011012"</f>
        <v>00011012</v>
      </c>
      <c r="B17" s="2" t="str">
        <f t="shared" si="0"/>
        <v>SG</v>
      </c>
      <c r="C17" s="4" t="s">
        <v>21</v>
      </c>
      <c r="D17" s="4" t="s">
        <v>0</v>
      </c>
      <c r="E17" s="4" t="s">
        <v>12</v>
      </c>
      <c r="F17" s="2" t="s">
        <v>0</v>
      </c>
      <c r="G17" s="2" t="str">
        <f t="shared" si="1"/>
        <v>01</v>
      </c>
      <c r="H17" s="3">
        <v>413</v>
      </c>
    </row>
    <row r="18" spans="1:8" x14ac:dyDescent="0.25">
      <c r="A18" s="2" t="str">
        <f>"00011042"</f>
        <v>00011042</v>
      </c>
      <c r="B18" s="2" t="str">
        <f t="shared" si="0"/>
        <v>SG</v>
      </c>
      <c r="C18" s="4" t="s">
        <v>22</v>
      </c>
      <c r="D18" s="4" t="s">
        <v>0</v>
      </c>
      <c r="E18" s="4" t="s">
        <v>12</v>
      </c>
      <c r="F18" s="2" t="s">
        <v>0</v>
      </c>
      <c r="G18" s="2" t="str">
        <f t="shared" si="1"/>
        <v>01</v>
      </c>
      <c r="H18" s="3">
        <v>413</v>
      </c>
    </row>
    <row r="19" spans="1:8" x14ac:dyDescent="0.25">
      <c r="A19" s="2" t="str">
        <f>"00011043"</f>
        <v>00011043</v>
      </c>
      <c r="B19" s="2" t="str">
        <f t="shared" si="0"/>
        <v>SG</v>
      </c>
      <c r="C19" s="4" t="s">
        <v>23</v>
      </c>
      <c r="D19" s="4" t="s">
        <v>0</v>
      </c>
      <c r="E19" s="4" t="s">
        <v>12</v>
      </c>
      <c r="F19" s="2" t="s">
        <v>0</v>
      </c>
      <c r="G19" s="2" t="str">
        <f t="shared" si="1"/>
        <v>01</v>
      </c>
      <c r="H19" s="3">
        <v>413</v>
      </c>
    </row>
    <row r="20" spans="1:8" ht="29.25" x14ac:dyDescent="0.25">
      <c r="A20" s="2" t="str">
        <f>"00011044"</f>
        <v>00011044</v>
      </c>
      <c r="B20" s="2" t="str">
        <f t="shared" si="0"/>
        <v>SG</v>
      </c>
      <c r="C20" s="4" t="s">
        <v>24</v>
      </c>
      <c r="D20" s="4" t="s">
        <v>0</v>
      </c>
      <c r="E20" s="4" t="s">
        <v>12</v>
      </c>
      <c r="F20" s="2" t="s">
        <v>0</v>
      </c>
      <c r="G20" s="2" t="str">
        <f t="shared" si="1"/>
        <v>01</v>
      </c>
      <c r="H20" s="3">
        <v>413</v>
      </c>
    </row>
    <row r="21" spans="1:8" ht="100.5" x14ac:dyDescent="0.25">
      <c r="A21" s="2" t="str">
        <f>"00011047"</f>
        <v>00011047</v>
      </c>
      <c r="B21" s="2" t="str">
        <f t="shared" si="0"/>
        <v>SG</v>
      </c>
      <c r="C21" s="4" t="s">
        <v>25</v>
      </c>
      <c r="D21" s="4" t="s">
        <v>0</v>
      </c>
      <c r="E21" s="4" t="s">
        <v>12</v>
      </c>
      <c r="F21" s="2" t="s">
        <v>0</v>
      </c>
      <c r="G21" s="2" t="str">
        <f t="shared" si="1"/>
        <v>01</v>
      </c>
      <c r="H21" s="3">
        <v>413</v>
      </c>
    </row>
    <row r="22" spans="1:8" ht="100.5" x14ac:dyDescent="0.25">
      <c r="A22" s="2" t="str">
        <f>"00011401"</f>
        <v>00011401</v>
      </c>
      <c r="B22" s="2" t="str">
        <f t="shared" si="0"/>
        <v>SG</v>
      </c>
      <c r="C22" s="4" t="s">
        <v>26</v>
      </c>
      <c r="D22" s="4" t="s">
        <v>0</v>
      </c>
      <c r="E22" s="4" t="s">
        <v>12</v>
      </c>
      <c r="F22" s="2" t="s">
        <v>0</v>
      </c>
      <c r="G22" s="2" t="str">
        <f t="shared" si="1"/>
        <v>01</v>
      </c>
      <c r="H22" s="3">
        <v>413</v>
      </c>
    </row>
    <row r="23" spans="1:8" ht="100.5" x14ac:dyDescent="0.25">
      <c r="A23" s="2" t="str">
        <f>"00011402"</f>
        <v>00011402</v>
      </c>
      <c r="B23" s="2" t="str">
        <f t="shared" si="0"/>
        <v>SG</v>
      </c>
      <c r="C23" s="4" t="s">
        <v>27</v>
      </c>
      <c r="D23" s="4" t="s">
        <v>0</v>
      </c>
      <c r="E23" s="4" t="s">
        <v>12</v>
      </c>
      <c r="F23" s="2" t="s">
        <v>0</v>
      </c>
      <c r="G23" s="2" t="str">
        <f t="shared" si="1"/>
        <v>01</v>
      </c>
      <c r="H23" s="3">
        <v>413</v>
      </c>
    </row>
    <row r="24" spans="1:8" ht="100.5" x14ac:dyDescent="0.25">
      <c r="A24" s="2" t="str">
        <f>"00011403"</f>
        <v>00011403</v>
      </c>
      <c r="B24" s="2" t="str">
        <f t="shared" si="0"/>
        <v>SG</v>
      </c>
      <c r="C24" s="4" t="s">
        <v>28</v>
      </c>
      <c r="D24" s="4" t="s">
        <v>0</v>
      </c>
      <c r="E24" s="4" t="s">
        <v>12</v>
      </c>
      <c r="F24" s="2" t="s">
        <v>0</v>
      </c>
      <c r="G24" s="2" t="str">
        <f t="shared" si="1"/>
        <v>01</v>
      </c>
      <c r="H24" s="3">
        <v>413</v>
      </c>
    </row>
    <row r="25" spans="1:8" ht="29.25" x14ac:dyDescent="0.25">
      <c r="A25" s="2" t="str">
        <f>"00011404"</f>
        <v>00011404</v>
      </c>
      <c r="B25" s="2" t="str">
        <f t="shared" si="0"/>
        <v>SG</v>
      </c>
      <c r="C25" s="4" t="s">
        <v>29</v>
      </c>
      <c r="D25" s="4" t="s">
        <v>0</v>
      </c>
      <c r="E25" s="4" t="s">
        <v>12</v>
      </c>
      <c r="F25" s="2" t="s">
        <v>0</v>
      </c>
      <c r="G25" s="2" t="str">
        <f t="shared" si="1"/>
        <v>01</v>
      </c>
      <c r="H25" s="3">
        <v>413</v>
      </c>
    </row>
    <row r="26" spans="1:8" ht="29.25" x14ac:dyDescent="0.25">
      <c r="A26" s="2" t="str">
        <f>"00011406"</f>
        <v>00011406</v>
      </c>
      <c r="B26" s="2" t="str">
        <f t="shared" si="0"/>
        <v>SG</v>
      </c>
      <c r="C26" s="4" t="s">
        <v>30</v>
      </c>
      <c r="D26" s="4" t="s">
        <v>0</v>
      </c>
      <c r="E26" s="4" t="s">
        <v>12</v>
      </c>
      <c r="F26" s="2" t="s">
        <v>0</v>
      </c>
      <c r="G26" s="2" t="str">
        <f>"02"</f>
        <v>02</v>
      </c>
      <c r="H26" s="3">
        <v>552</v>
      </c>
    </row>
    <row r="27" spans="1:8" ht="29.25" x14ac:dyDescent="0.25">
      <c r="A27" s="2" t="str">
        <f>"00011424"</f>
        <v>00011424</v>
      </c>
      <c r="B27" s="2" t="str">
        <f t="shared" si="0"/>
        <v>SG</v>
      </c>
      <c r="C27" s="4" t="s">
        <v>31</v>
      </c>
      <c r="D27" s="4" t="s">
        <v>0</v>
      </c>
      <c r="E27" s="4" t="s">
        <v>12</v>
      </c>
      <c r="F27" s="2" t="s">
        <v>0</v>
      </c>
      <c r="G27" s="2" t="str">
        <f>"02"</f>
        <v>02</v>
      </c>
      <c r="H27" s="3">
        <v>552</v>
      </c>
    </row>
    <row r="28" spans="1:8" ht="29.25" x14ac:dyDescent="0.25">
      <c r="A28" s="2" t="str">
        <f>"00011426"</f>
        <v>00011426</v>
      </c>
      <c r="B28" s="2" t="str">
        <f t="shared" si="0"/>
        <v>SG</v>
      </c>
      <c r="C28" s="4" t="s">
        <v>32</v>
      </c>
      <c r="D28" s="4" t="s">
        <v>0</v>
      </c>
      <c r="E28" s="4" t="s">
        <v>12</v>
      </c>
      <c r="F28" s="2" t="s">
        <v>0</v>
      </c>
      <c r="G28" s="2" t="str">
        <f>"02"</f>
        <v>02</v>
      </c>
      <c r="H28" s="3">
        <v>552</v>
      </c>
    </row>
    <row r="29" spans="1:8" ht="29.25" x14ac:dyDescent="0.25">
      <c r="A29" s="2" t="str">
        <f>"00011444"</f>
        <v>00011444</v>
      </c>
      <c r="B29" s="2" t="str">
        <f t="shared" si="0"/>
        <v>SG</v>
      </c>
      <c r="C29" s="4" t="s">
        <v>33</v>
      </c>
      <c r="D29" s="4" t="s">
        <v>0</v>
      </c>
      <c r="E29" s="4" t="s">
        <v>12</v>
      </c>
      <c r="F29" s="2" t="s">
        <v>0</v>
      </c>
      <c r="G29" s="2" t="str">
        <f>"01"</f>
        <v>01</v>
      </c>
      <c r="H29" s="3">
        <v>413</v>
      </c>
    </row>
    <row r="30" spans="1:8" ht="29.25" x14ac:dyDescent="0.25">
      <c r="A30" s="2" t="str">
        <f>"00011446"</f>
        <v>00011446</v>
      </c>
      <c r="B30" s="2" t="str">
        <f t="shared" si="0"/>
        <v>SG</v>
      </c>
      <c r="C30" s="4" t="s">
        <v>34</v>
      </c>
      <c r="D30" s="4" t="s">
        <v>0</v>
      </c>
      <c r="E30" s="4" t="s">
        <v>12</v>
      </c>
      <c r="F30" s="2" t="s">
        <v>0</v>
      </c>
      <c r="G30" s="2" t="str">
        <f t="shared" ref="G30:G36" si="2">"02"</f>
        <v>02</v>
      </c>
      <c r="H30" s="3">
        <v>552</v>
      </c>
    </row>
    <row r="31" spans="1:8" ht="29.25" x14ac:dyDescent="0.25">
      <c r="A31" s="2" t="str">
        <f>"00011450"</f>
        <v>00011450</v>
      </c>
      <c r="B31" s="2" t="str">
        <f t="shared" si="0"/>
        <v>SG</v>
      </c>
      <c r="C31" s="4" t="s">
        <v>35</v>
      </c>
      <c r="D31" s="4" t="s">
        <v>0</v>
      </c>
      <c r="E31" s="4" t="s">
        <v>12</v>
      </c>
      <c r="F31" s="2" t="s">
        <v>0</v>
      </c>
      <c r="G31" s="2" t="str">
        <f t="shared" si="2"/>
        <v>02</v>
      </c>
      <c r="H31" s="3">
        <v>552</v>
      </c>
    </row>
    <row r="32" spans="1:8" ht="29.25" x14ac:dyDescent="0.25">
      <c r="A32" s="2" t="str">
        <f>"00011451"</f>
        <v>00011451</v>
      </c>
      <c r="B32" s="2" t="str">
        <f t="shared" si="0"/>
        <v>SG</v>
      </c>
      <c r="C32" s="4" t="s">
        <v>35</v>
      </c>
      <c r="D32" s="4" t="s">
        <v>0</v>
      </c>
      <c r="E32" s="4" t="s">
        <v>12</v>
      </c>
      <c r="F32" s="2" t="s">
        <v>0</v>
      </c>
      <c r="G32" s="2" t="str">
        <f t="shared" si="2"/>
        <v>02</v>
      </c>
      <c r="H32" s="3">
        <v>552</v>
      </c>
    </row>
    <row r="33" spans="1:8" ht="29.25" x14ac:dyDescent="0.25">
      <c r="A33" s="2" t="str">
        <f>"00011462"</f>
        <v>00011462</v>
      </c>
      <c r="B33" s="2" t="str">
        <f t="shared" si="0"/>
        <v>SG</v>
      </c>
      <c r="C33" s="4" t="s">
        <v>35</v>
      </c>
      <c r="D33" s="4" t="s">
        <v>0</v>
      </c>
      <c r="E33" s="4" t="s">
        <v>12</v>
      </c>
      <c r="F33" s="2" t="s">
        <v>0</v>
      </c>
      <c r="G33" s="2" t="str">
        <f t="shared" si="2"/>
        <v>02</v>
      </c>
      <c r="H33" s="3">
        <v>552</v>
      </c>
    </row>
    <row r="34" spans="1:8" ht="29.25" x14ac:dyDescent="0.25">
      <c r="A34" s="2" t="str">
        <f>"00011463"</f>
        <v>00011463</v>
      </c>
      <c r="B34" s="2" t="str">
        <f t="shared" si="0"/>
        <v>SG</v>
      </c>
      <c r="C34" s="4" t="s">
        <v>35</v>
      </c>
      <c r="D34" s="4" t="s">
        <v>0</v>
      </c>
      <c r="E34" s="4" t="s">
        <v>12</v>
      </c>
      <c r="F34" s="2" t="s">
        <v>0</v>
      </c>
      <c r="G34" s="2" t="str">
        <f t="shared" si="2"/>
        <v>02</v>
      </c>
      <c r="H34" s="3">
        <v>552</v>
      </c>
    </row>
    <row r="35" spans="1:8" ht="29.25" x14ac:dyDescent="0.25">
      <c r="A35" s="2" t="str">
        <f>"00011470"</f>
        <v>00011470</v>
      </c>
      <c r="B35" s="2" t="str">
        <f t="shared" si="0"/>
        <v>SG</v>
      </c>
      <c r="C35" s="4" t="s">
        <v>35</v>
      </c>
      <c r="D35" s="4" t="s">
        <v>0</v>
      </c>
      <c r="E35" s="4" t="s">
        <v>12</v>
      </c>
      <c r="F35" s="2" t="s">
        <v>0</v>
      </c>
      <c r="G35" s="2" t="str">
        <f t="shared" si="2"/>
        <v>02</v>
      </c>
      <c r="H35" s="3">
        <v>552</v>
      </c>
    </row>
    <row r="36" spans="1:8" ht="29.25" x14ac:dyDescent="0.25">
      <c r="A36" s="2" t="str">
        <f>"00011471"</f>
        <v>00011471</v>
      </c>
      <c r="B36" s="2" t="str">
        <f t="shared" si="0"/>
        <v>SG</v>
      </c>
      <c r="C36" s="4" t="s">
        <v>35</v>
      </c>
      <c r="D36" s="4" t="s">
        <v>0</v>
      </c>
      <c r="E36" s="4" t="s">
        <v>12</v>
      </c>
      <c r="F36" s="2" t="s">
        <v>0</v>
      </c>
      <c r="G36" s="2" t="str">
        <f t="shared" si="2"/>
        <v>02</v>
      </c>
      <c r="H36" s="3">
        <v>552</v>
      </c>
    </row>
    <row r="37" spans="1:8" ht="29.25" x14ac:dyDescent="0.25">
      <c r="A37" s="2" t="str">
        <f>"00011604"</f>
        <v>00011604</v>
      </c>
      <c r="B37" s="2" t="str">
        <f t="shared" si="0"/>
        <v>SG</v>
      </c>
      <c r="C37" s="4" t="s">
        <v>36</v>
      </c>
      <c r="D37" s="4" t="s">
        <v>0</v>
      </c>
      <c r="E37" s="4" t="s">
        <v>12</v>
      </c>
      <c r="F37" s="2" t="s">
        <v>0</v>
      </c>
      <c r="G37" s="2" t="str">
        <f>"01"</f>
        <v>01</v>
      </c>
      <c r="H37" s="3">
        <v>413</v>
      </c>
    </row>
    <row r="38" spans="1:8" ht="29.25" x14ac:dyDescent="0.25">
      <c r="A38" s="2" t="str">
        <f>"00011606"</f>
        <v>00011606</v>
      </c>
      <c r="B38" s="2" t="str">
        <f t="shared" si="0"/>
        <v>SG</v>
      </c>
      <c r="C38" s="4" t="s">
        <v>37</v>
      </c>
      <c r="D38" s="4" t="s">
        <v>0</v>
      </c>
      <c r="E38" s="4" t="s">
        <v>12</v>
      </c>
      <c r="F38" s="2" t="s">
        <v>0</v>
      </c>
      <c r="G38" s="2" t="str">
        <f t="shared" ref="G38:G45" si="3">"02"</f>
        <v>02</v>
      </c>
      <c r="H38" s="3">
        <v>552</v>
      </c>
    </row>
    <row r="39" spans="1:8" ht="29.25" x14ac:dyDescent="0.25">
      <c r="A39" s="2" t="str">
        <f>"00011624"</f>
        <v>00011624</v>
      </c>
      <c r="B39" s="2" t="str">
        <f t="shared" si="0"/>
        <v>SG</v>
      </c>
      <c r="C39" s="4" t="s">
        <v>38</v>
      </c>
      <c r="D39" s="4" t="s">
        <v>0</v>
      </c>
      <c r="E39" s="4" t="s">
        <v>12</v>
      </c>
      <c r="F39" s="2" t="s">
        <v>0</v>
      </c>
      <c r="G39" s="2" t="str">
        <f t="shared" si="3"/>
        <v>02</v>
      </c>
      <c r="H39" s="3">
        <v>552</v>
      </c>
    </row>
    <row r="40" spans="1:8" ht="29.25" x14ac:dyDescent="0.25">
      <c r="A40" s="2" t="str">
        <f>"00011626"</f>
        <v>00011626</v>
      </c>
      <c r="B40" s="2" t="str">
        <f t="shared" si="0"/>
        <v>SG</v>
      </c>
      <c r="C40" s="4" t="s">
        <v>39</v>
      </c>
      <c r="D40" s="4" t="s">
        <v>0</v>
      </c>
      <c r="E40" s="4" t="s">
        <v>12</v>
      </c>
      <c r="F40" s="2" t="s">
        <v>0</v>
      </c>
      <c r="G40" s="2" t="str">
        <f t="shared" si="3"/>
        <v>02</v>
      </c>
      <c r="H40" s="3">
        <v>552</v>
      </c>
    </row>
    <row r="41" spans="1:8" ht="29.25" x14ac:dyDescent="0.25">
      <c r="A41" s="2" t="str">
        <f>"00011644"</f>
        <v>00011644</v>
      </c>
      <c r="B41" s="2" t="str">
        <f t="shared" si="0"/>
        <v>SG</v>
      </c>
      <c r="C41" s="4" t="s">
        <v>40</v>
      </c>
      <c r="D41" s="4" t="s">
        <v>0</v>
      </c>
      <c r="E41" s="4" t="s">
        <v>12</v>
      </c>
      <c r="F41" s="2" t="s">
        <v>0</v>
      </c>
      <c r="G41" s="2" t="str">
        <f t="shared" si="3"/>
        <v>02</v>
      </c>
      <c r="H41" s="3">
        <v>552</v>
      </c>
    </row>
    <row r="42" spans="1:8" ht="29.25" x14ac:dyDescent="0.25">
      <c r="A42" s="2" t="str">
        <f>"00011646"</f>
        <v>00011646</v>
      </c>
      <c r="B42" s="2" t="str">
        <f t="shared" si="0"/>
        <v>SG</v>
      </c>
      <c r="C42" s="4" t="s">
        <v>41</v>
      </c>
      <c r="D42" s="4" t="s">
        <v>0</v>
      </c>
      <c r="E42" s="4" t="s">
        <v>12</v>
      </c>
      <c r="F42" s="2" t="s">
        <v>0</v>
      </c>
      <c r="G42" s="2" t="str">
        <f t="shared" si="3"/>
        <v>02</v>
      </c>
      <c r="H42" s="3">
        <v>552</v>
      </c>
    </row>
    <row r="43" spans="1:8" ht="29.25" x14ac:dyDescent="0.25">
      <c r="A43" s="2" t="str">
        <f>"00011770"</f>
        <v>00011770</v>
      </c>
      <c r="B43" s="2" t="str">
        <f t="shared" si="0"/>
        <v>SG</v>
      </c>
      <c r="C43" s="4" t="s">
        <v>42</v>
      </c>
      <c r="D43" s="4" t="s">
        <v>0</v>
      </c>
      <c r="E43" s="4" t="s">
        <v>12</v>
      </c>
      <c r="F43" s="2" t="s">
        <v>0</v>
      </c>
      <c r="G43" s="2" t="str">
        <f t="shared" si="3"/>
        <v>02</v>
      </c>
      <c r="H43" s="3">
        <v>552</v>
      </c>
    </row>
    <row r="44" spans="1:8" ht="29.25" x14ac:dyDescent="0.25">
      <c r="A44" s="2" t="str">
        <f>"00011771"</f>
        <v>00011771</v>
      </c>
      <c r="B44" s="2" t="str">
        <f t="shared" si="0"/>
        <v>SG</v>
      </c>
      <c r="C44" s="4" t="s">
        <v>42</v>
      </c>
      <c r="D44" s="4" t="s">
        <v>0</v>
      </c>
      <c r="E44" s="4" t="s">
        <v>12</v>
      </c>
      <c r="F44" s="2" t="s">
        <v>0</v>
      </c>
      <c r="G44" s="2" t="str">
        <f t="shared" si="3"/>
        <v>02</v>
      </c>
      <c r="H44" s="3">
        <v>552</v>
      </c>
    </row>
    <row r="45" spans="1:8" ht="29.25" x14ac:dyDescent="0.25">
      <c r="A45" s="2" t="str">
        <f>"00011772"</f>
        <v>00011772</v>
      </c>
      <c r="B45" s="2" t="str">
        <f t="shared" si="0"/>
        <v>SG</v>
      </c>
      <c r="C45" s="4" t="s">
        <v>42</v>
      </c>
      <c r="D45" s="4" t="s">
        <v>0</v>
      </c>
      <c r="E45" s="4" t="s">
        <v>12</v>
      </c>
      <c r="F45" s="2" t="s">
        <v>0</v>
      </c>
      <c r="G45" s="2" t="str">
        <f t="shared" si="3"/>
        <v>02</v>
      </c>
      <c r="H45" s="3">
        <v>552</v>
      </c>
    </row>
    <row r="46" spans="1:8" ht="29.25" x14ac:dyDescent="0.25">
      <c r="A46" s="2" t="str">
        <f>"00011960"</f>
        <v>00011960</v>
      </c>
      <c r="B46" s="2" t="str">
        <f t="shared" si="0"/>
        <v>SG</v>
      </c>
      <c r="C46" s="4" t="s">
        <v>43</v>
      </c>
      <c r="D46" s="4" t="s">
        <v>0</v>
      </c>
      <c r="E46" s="4" t="s">
        <v>12</v>
      </c>
      <c r="F46" s="2" t="s">
        <v>0</v>
      </c>
      <c r="G46" s="2" t="str">
        <f>"03"</f>
        <v>03</v>
      </c>
      <c r="H46" s="3">
        <v>637</v>
      </c>
    </row>
    <row r="47" spans="1:8" ht="29.25" x14ac:dyDescent="0.25">
      <c r="A47" s="2" t="str">
        <f>"00011970"</f>
        <v>00011970</v>
      </c>
      <c r="B47" s="2" t="str">
        <f t="shared" si="0"/>
        <v>SG</v>
      </c>
      <c r="C47" s="4" t="s">
        <v>44</v>
      </c>
      <c r="D47" s="4" t="s">
        <v>0</v>
      </c>
      <c r="E47" s="4" t="s">
        <v>12</v>
      </c>
      <c r="F47" s="2" t="s">
        <v>0</v>
      </c>
      <c r="G47" s="2" t="str">
        <f>"06"</f>
        <v>06</v>
      </c>
      <c r="H47" s="3">
        <v>1000</v>
      </c>
    </row>
    <row r="48" spans="1:8" ht="29.25" x14ac:dyDescent="0.25">
      <c r="A48" s="2" t="str">
        <f>"00011971"</f>
        <v>00011971</v>
      </c>
      <c r="B48" s="2" t="str">
        <f t="shared" si="0"/>
        <v>SG</v>
      </c>
      <c r="C48" s="4" t="s">
        <v>45</v>
      </c>
      <c r="D48" s="4" t="s">
        <v>0</v>
      </c>
      <c r="E48" s="4" t="s">
        <v>12</v>
      </c>
      <c r="F48" s="2" t="s">
        <v>0</v>
      </c>
      <c r="G48" s="2" t="str">
        <f>"02"</f>
        <v>02</v>
      </c>
      <c r="H48" s="3">
        <v>552</v>
      </c>
    </row>
    <row r="49" spans="1:8" ht="29.25" x14ac:dyDescent="0.25">
      <c r="A49" s="2" t="str">
        <f>"00012005"</f>
        <v>00012005</v>
      </c>
      <c r="B49" s="2" t="str">
        <f t="shared" si="0"/>
        <v>SG</v>
      </c>
      <c r="C49" s="4" t="s">
        <v>46</v>
      </c>
      <c r="D49" s="4" t="s">
        <v>0</v>
      </c>
      <c r="E49" s="4" t="s">
        <v>12</v>
      </c>
      <c r="F49" s="2" t="s">
        <v>0</v>
      </c>
      <c r="G49" s="2" t="str">
        <f t="shared" ref="G49:G80" si="4">"01"</f>
        <v>01</v>
      </c>
      <c r="H49" s="3">
        <v>413</v>
      </c>
    </row>
    <row r="50" spans="1:8" ht="29.25" x14ac:dyDescent="0.25">
      <c r="A50" s="2" t="str">
        <f>"00012006"</f>
        <v>00012006</v>
      </c>
      <c r="B50" s="2" t="str">
        <f t="shared" si="0"/>
        <v>SG</v>
      </c>
      <c r="C50" s="4" t="s">
        <v>46</v>
      </c>
      <c r="D50" s="4" t="s">
        <v>0</v>
      </c>
      <c r="E50" s="4" t="s">
        <v>12</v>
      </c>
      <c r="F50" s="2" t="s">
        <v>0</v>
      </c>
      <c r="G50" s="2" t="str">
        <f t="shared" si="4"/>
        <v>01</v>
      </c>
      <c r="H50" s="3">
        <v>413</v>
      </c>
    </row>
    <row r="51" spans="1:8" ht="29.25" x14ac:dyDescent="0.25">
      <c r="A51" s="2" t="str">
        <f>"00012007"</f>
        <v>00012007</v>
      </c>
      <c r="B51" s="2" t="str">
        <f t="shared" si="0"/>
        <v>SG</v>
      </c>
      <c r="C51" s="4" t="s">
        <v>46</v>
      </c>
      <c r="D51" s="4" t="s">
        <v>0</v>
      </c>
      <c r="E51" s="4" t="s">
        <v>12</v>
      </c>
      <c r="F51" s="2" t="s">
        <v>0</v>
      </c>
      <c r="G51" s="2" t="str">
        <f t="shared" si="4"/>
        <v>01</v>
      </c>
      <c r="H51" s="3">
        <v>413</v>
      </c>
    </row>
    <row r="52" spans="1:8" ht="29.25" x14ac:dyDescent="0.25">
      <c r="A52" s="2" t="str">
        <f>"00012016"</f>
        <v>00012016</v>
      </c>
      <c r="B52" s="2" t="str">
        <f t="shared" si="0"/>
        <v>SG</v>
      </c>
      <c r="C52" s="4" t="s">
        <v>46</v>
      </c>
      <c r="D52" s="4" t="s">
        <v>0</v>
      </c>
      <c r="E52" s="4" t="s">
        <v>12</v>
      </c>
      <c r="F52" s="2" t="s">
        <v>0</v>
      </c>
      <c r="G52" s="2" t="str">
        <f t="shared" si="4"/>
        <v>01</v>
      </c>
      <c r="H52" s="3">
        <v>413</v>
      </c>
    </row>
    <row r="53" spans="1:8" ht="29.25" x14ac:dyDescent="0.25">
      <c r="A53" s="2" t="str">
        <f>"00012017"</f>
        <v>00012017</v>
      </c>
      <c r="B53" s="2" t="str">
        <f t="shared" si="0"/>
        <v>SG</v>
      </c>
      <c r="C53" s="4" t="s">
        <v>46</v>
      </c>
      <c r="D53" s="4" t="s">
        <v>0</v>
      </c>
      <c r="E53" s="4" t="s">
        <v>12</v>
      </c>
      <c r="F53" s="2" t="s">
        <v>0</v>
      </c>
      <c r="G53" s="2" t="str">
        <f t="shared" si="4"/>
        <v>01</v>
      </c>
      <c r="H53" s="3">
        <v>413</v>
      </c>
    </row>
    <row r="54" spans="1:8" ht="29.25" x14ac:dyDescent="0.25">
      <c r="A54" s="2" t="str">
        <f>"00012018"</f>
        <v>00012018</v>
      </c>
      <c r="B54" s="2" t="str">
        <f t="shared" si="0"/>
        <v>SG</v>
      </c>
      <c r="C54" s="4" t="s">
        <v>46</v>
      </c>
      <c r="D54" s="4" t="s">
        <v>0</v>
      </c>
      <c r="E54" s="4" t="s">
        <v>12</v>
      </c>
      <c r="F54" s="2" t="s">
        <v>0</v>
      </c>
      <c r="G54" s="2" t="str">
        <f t="shared" si="4"/>
        <v>01</v>
      </c>
      <c r="H54" s="3">
        <v>413</v>
      </c>
    </row>
    <row r="55" spans="1:8" x14ac:dyDescent="0.25">
      <c r="A55" s="2" t="str">
        <f>"00012020"</f>
        <v>00012020</v>
      </c>
      <c r="B55" s="2" t="str">
        <f t="shared" si="0"/>
        <v>SG</v>
      </c>
      <c r="C55" s="4" t="s">
        <v>47</v>
      </c>
      <c r="D55" s="4" t="s">
        <v>0</v>
      </c>
      <c r="E55" s="4" t="s">
        <v>12</v>
      </c>
      <c r="F55" s="2" t="s">
        <v>0</v>
      </c>
      <c r="G55" s="2" t="str">
        <f t="shared" si="4"/>
        <v>01</v>
      </c>
      <c r="H55" s="3">
        <v>413</v>
      </c>
    </row>
    <row r="56" spans="1:8" x14ac:dyDescent="0.25">
      <c r="A56" s="2" t="str">
        <f>"00012021"</f>
        <v>00012021</v>
      </c>
      <c r="B56" s="2" t="str">
        <f t="shared" si="0"/>
        <v>SG</v>
      </c>
      <c r="C56" s="4" t="s">
        <v>47</v>
      </c>
      <c r="D56" s="4" t="s">
        <v>0</v>
      </c>
      <c r="E56" s="4" t="s">
        <v>12</v>
      </c>
      <c r="F56" s="2" t="s">
        <v>0</v>
      </c>
      <c r="G56" s="2" t="str">
        <f t="shared" si="4"/>
        <v>01</v>
      </c>
      <c r="H56" s="3">
        <v>413</v>
      </c>
    </row>
    <row r="57" spans="1:8" ht="72" x14ac:dyDescent="0.25">
      <c r="A57" s="2" t="str">
        <f>"00012032"</f>
        <v>00012032</v>
      </c>
      <c r="B57" s="2" t="str">
        <f t="shared" si="0"/>
        <v>SG</v>
      </c>
      <c r="C57" s="4" t="s">
        <v>48</v>
      </c>
      <c r="D57" s="4" t="s">
        <v>0</v>
      </c>
      <c r="E57" s="4" t="s">
        <v>12</v>
      </c>
      <c r="F57" s="2" t="s">
        <v>0</v>
      </c>
      <c r="G57" s="2" t="str">
        <f t="shared" si="4"/>
        <v>01</v>
      </c>
      <c r="H57" s="3">
        <v>413</v>
      </c>
    </row>
    <row r="58" spans="1:8" ht="29.25" x14ac:dyDescent="0.25">
      <c r="A58" s="2" t="str">
        <f>"00012034"</f>
        <v>00012034</v>
      </c>
      <c r="B58" s="2" t="str">
        <f t="shared" si="0"/>
        <v>SG</v>
      </c>
      <c r="C58" s="4" t="s">
        <v>49</v>
      </c>
      <c r="D58" s="4" t="s">
        <v>0</v>
      </c>
      <c r="E58" s="4" t="s">
        <v>12</v>
      </c>
      <c r="F58" s="2" t="s">
        <v>0</v>
      </c>
      <c r="G58" s="2" t="str">
        <f t="shared" si="4"/>
        <v>01</v>
      </c>
      <c r="H58" s="3">
        <v>413</v>
      </c>
    </row>
    <row r="59" spans="1:8" ht="29.25" x14ac:dyDescent="0.25">
      <c r="A59" s="2" t="str">
        <f>"00012035"</f>
        <v>00012035</v>
      </c>
      <c r="B59" s="2" t="str">
        <f t="shared" si="0"/>
        <v>SG</v>
      </c>
      <c r="C59" s="4" t="s">
        <v>49</v>
      </c>
      <c r="D59" s="4" t="s">
        <v>0</v>
      </c>
      <c r="E59" s="4" t="s">
        <v>12</v>
      </c>
      <c r="F59" s="2" t="s">
        <v>0</v>
      </c>
      <c r="G59" s="2" t="str">
        <f t="shared" si="4"/>
        <v>01</v>
      </c>
      <c r="H59" s="3">
        <v>413</v>
      </c>
    </row>
    <row r="60" spans="1:8" ht="29.25" x14ac:dyDescent="0.25">
      <c r="A60" s="2" t="str">
        <f>"00012036"</f>
        <v>00012036</v>
      </c>
      <c r="B60" s="2" t="str">
        <f t="shared" si="0"/>
        <v>SG</v>
      </c>
      <c r="C60" s="4" t="s">
        <v>49</v>
      </c>
      <c r="D60" s="4" t="s">
        <v>0</v>
      </c>
      <c r="E60" s="4" t="s">
        <v>12</v>
      </c>
      <c r="F60" s="2" t="s">
        <v>0</v>
      </c>
      <c r="G60" s="2" t="str">
        <f t="shared" si="4"/>
        <v>01</v>
      </c>
      <c r="H60" s="3">
        <v>413</v>
      </c>
    </row>
    <row r="61" spans="1:8" ht="29.25" x14ac:dyDescent="0.25">
      <c r="A61" s="2" t="str">
        <f>"00012037"</f>
        <v>00012037</v>
      </c>
      <c r="B61" s="2" t="str">
        <f t="shared" si="0"/>
        <v>SG</v>
      </c>
      <c r="C61" s="4" t="s">
        <v>49</v>
      </c>
      <c r="D61" s="4" t="s">
        <v>0</v>
      </c>
      <c r="E61" s="4" t="s">
        <v>12</v>
      </c>
      <c r="F61" s="2" t="s">
        <v>0</v>
      </c>
      <c r="G61" s="2" t="str">
        <f t="shared" si="4"/>
        <v>01</v>
      </c>
      <c r="H61" s="3">
        <v>413</v>
      </c>
    </row>
    <row r="62" spans="1:8" ht="29.25" x14ac:dyDescent="0.25">
      <c r="A62" s="2" t="str">
        <f>"00012044"</f>
        <v>00012044</v>
      </c>
      <c r="B62" s="2" t="str">
        <f t="shared" si="0"/>
        <v>SG</v>
      </c>
      <c r="C62" s="4" t="s">
        <v>49</v>
      </c>
      <c r="D62" s="4" t="s">
        <v>0</v>
      </c>
      <c r="E62" s="4" t="s">
        <v>12</v>
      </c>
      <c r="F62" s="2" t="s">
        <v>0</v>
      </c>
      <c r="G62" s="2" t="str">
        <f t="shared" si="4"/>
        <v>01</v>
      </c>
      <c r="H62" s="3">
        <v>413</v>
      </c>
    </row>
    <row r="63" spans="1:8" ht="29.25" x14ac:dyDescent="0.25">
      <c r="A63" s="2" t="str">
        <f>"00012045"</f>
        <v>00012045</v>
      </c>
      <c r="B63" s="2" t="str">
        <f t="shared" si="0"/>
        <v>SG</v>
      </c>
      <c r="C63" s="4" t="s">
        <v>49</v>
      </c>
      <c r="D63" s="4" t="s">
        <v>0</v>
      </c>
      <c r="E63" s="4" t="s">
        <v>12</v>
      </c>
      <c r="F63" s="2" t="s">
        <v>0</v>
      </c>
      <c r="G63" s="2" t="str">
        <f t="shared" si="4"/>
        <v>01</v>
      </c>
      <c r="H63" s="3">
        <v>413</v>
      </c>
    </row>
    <row r="64" spans="1:8" ht="29.25" x14ac:dyDescent="0.25">
      <c r="A64" s="2" t="str">
        <f>"00012046"</f>
        <v>00012046</v>
      </c>
      <c r="B64" s="2" t="str">
        <f t="shared" si="0"/>
        <v>SG</v>
      </c>
      <c r="C64" s="4" t="s">
        <v>49</v>
      </c>
      <c r="D64" s="4" t="s">
        <v>0</v>
      </c>
      <c r="E64" s="4" t="s">
        <v>12</v>
      </c>
      <c r="F64" s="2" t="s">
        <v>0</v>
      </c>
      <c r="G64" s="2" t="str">
        <f t="shared" si="4"/>
        <v>01</v>
      </c>
      <c r="H64" s="3">
        <v>413</v>
      </c>
    </row>
    <row r="65" spans="1:8" ht="29.25" x14ac:dyDescent="0.25">
      <c r="A65" s="2" t="str">
        <f>"00012047"</f>
        <v>00012047</v>
      </c>
      <c r="B65" s="2" t="str">
        <f t="shared" si="0"/>
        <v>SG</v>
      </c>
      <c r="C65" s="4" t="s">
        <v>49</v>
      </c>
      <c r="D65" s="4" t="s">
        <v>0</v>
      </c>
      <c r="E65" s="4" t="s">
        <v>12</v>
      </c>
      <c r="F65" s="2" t="s">
        <v>0</v>
      </c>
      <c r="G65" s="2" t="str">
        <f t="shared" si="4"/>
        <v>01</v>
      </c>
      <c r="H65" s="3">
        <v>413</v>
      </c>
    </row>
    <row r="66" spans="1:8" ht="29.25" x14ac:dyDescent="0.25">
      <c r="A66" s="2" t="str">
        <f>"00012054"</f>
        <v>00012054</v>
      </c>
      <c r="B66" s="2" t="str">
        <f t="shared" si="0"/>
        <v>SG</v>
      </c>
      <c r="C66" s="4" t="s">
        <v>49</v>
      </c>
      <c r="D66" s="4" t="s">
        <v>0</v>
      </c>
      <c r="E66" s="4" t="s">
        <v>12</v>
      </c>
      <c r="F66" s="2" t="s">
        <v>0</v>
      </c>
      <c r="G66" s="2" t="str">
        <f t="shared" si="4"/>
        <v>01</v>
      </c>
      <c r="H66" s="3">
        <v>413</v>
      </c>
    </row>
    <row r="67" spans="1:8" ht="29.25" x14ac:dyDescent="0.25">
      <c r="A67" s="2" t="str">
        <f>"00012055"</f>
        <v>00012055</v>
      </c>
      <c r="B67" s="2" t="str">
        <f t="shared" si="0"/>
        <v>SG</v>
      </c>
      <c r="C67" s="4" t="s">
        <v>49</v>
      </c>
      <c r="D67" s="4" t="s">
        <v>0</v>
      </c>
      <c r="E67" s="4" t="s">
        <v>12</v>
      </c>
      <c r="F67" s="2" t="s">
        <v>0</v>
      </c>
      <c r="G67" s="2" t="str">
        <f t="shared" si="4"/>
        <v>01</v>
      </c>
      <c r="H67" s="3">
        <v>413</v>
      </c>
    </row>
    <row r="68" spans="1:8" ht="29.25" x14ac:dyDescent="0.25">
      <c r="A68" s="2" t="str">
        <f>"00012056"</f>
        <v>00012056</v>
      </c>
      <c r="B68" s="2" t="str">
        <f t="shared" si="0"/>
        <v>SG</v>
      </c>
      <c r="C68" s="4" t="s">
        <v>49</v>
      </c>
      <c r="D68" s="4" t="s">
        <v>0</v>
      </c>
      <c r="E68" s="4" t="s">
        <v>12</v>
      </c>
      <c r="F68" s="2" t="s">
        <v>0</v>
      </c>
      <c r="G68" s="2" t="str">
        <f t="shared" si="4"/>
        <v>01</v>
      </c>
      <c r="H68" s="3">
        <v>413</v>
      </c>
    </row>
    <row r="69" spans="1:8" ht="29.25" x14ac:dyDescent="0.25">
      <c r="A69" s="2" t="str">
        <f>"00012057"</f>
        <v>00012057</v>
      </c>
      <c r="B69" s="2" t="str">
        <f t="shared" si="0"/>
        <v>SG</v>
      </c>
      <c r="C69" s="4" t="s">
        <v>49</v>
      </c>
      <c r="D69" s="4" t="s">
        <v>0</v>
      </c>
      <c r="E69" s="4" t="s">
        <v>12</v>
      </c>
      <c r="F69" s="2" t="s">
        <v>0</v>
      </c>
      <c r="G69" s="2" t="str">
        <f t="shared" si="4"/>
        <v>01</v>
      </c>
      <c r="H69" s="3">
        <v>413</v>
      </c>
    </row>
    <row r="70" spans="1:8" ht="29.25" x14ac:dyDescent="0.25">
      <c r="A70" s="2" t="str">
        <f>"00013100"</f>
        <v>00013100</v>
      </c>
      <c r="B70" s="2" t="str">
        <f t="shared" si="0"/>
        <v>SG</v>
      </c>
      <c r="C70" s="4" t="s">
        <v>50</v>
      </c>
      <c r="D70" s="4" t="s">
        <v>0</v>
      </c>
      <c r="E70" s="4" t="s">
        <v>12</v>
      </c>
      <c r="F70" s="2" t="s">
        <v>0</v>
      </c>
      <c r="G70" s="2" t="str">
        <f t="shared" si="4"/>
        <v>01</v>
      </c>
      <c r="H70" s="3">
        <v>413</v>
      </c>
    </row>
    <row r="71" spans="1:8" ht="29.25" x14ac:dyDescent="0.25">
      <c r="A71" s="2" t="str">
        <f>"00013101"</f>
        <v>00013101</v>
      </c>
      <c r="B71" s="2" t="str">
        <f t="shared" si="0"/>
        <v>SG</v>
      </c>
      <c r="C71" s="4" t="s">
        <v>50</v>
      </c>
      <c r="D71" s="4" t="s">
        <v>0</v>
      </c>
      <c r="E71" s="4" t="s">
        <v>12</v>
      </c>
      <c r="F71" s="2" t="s">
        <v>0</v>
      </c>
      <c r="G71" s="2" t="str">
        <f t="shared" si="4"/>
        <v>01</v>
      </c>
      <c r="H71" s="3">
        <v>413</v>
      </c>
    </row>
    <row r="72" spans="1:8" ht="29.25" x14ac:dyDescent="0.25">
      <c r="A72" s="2" t="str">
        <f>"00013102"</f>
        <v>00013102</v>
      </c>
      <c r="B72" s="2" t="str">
        <f t="shared" si="0"/>
        <v>SG</v>
      </c>
      <c r="C72" s="4" t="s">
        <v>51</v>
      </c>
      <c r="D72" s="4" t="s">
        <v>0</v>
      </c>
      <c r="E72" s="4" t="s">
        <v>12</v>
      </c>
      <c r="F72" s="2" t="s">
        <v>0</v>
      </c>
      <c r="G72" s="2" t="str">
        <f t="shared" si="4"/>
        <v>01</v>
      </c>
      <c r="H72" s="3">
        <v>413</v>
      </c>
    </row>
    <row r="73" spans="1:8" ht="29.25" x14ac:dyDescent="0.25">
      <c r="A73" s="2" t="str">
        <f>"00013120"</f>
        <v>00013120</v>
      </c>
      <c r="B73" s="2" t="str">
        <f t="shared" si="0"/>
        <v>SG</v>
      </c>
      <c r="C73" s="4" t="s">
        <v>50</v>
      </c>
      <c r="D73" s="4" t="s">
        <v>0</v>
      </c>
      <c r="E73" s="4" t="s">
        <v>12</v>
      </c>
      <c r="F73" s="2" t="s">
        <v>0</v>
      </c>
      <c r="G73" s="2" t="str">
        <f t="shared" si="4"/>
        <v>01</v>
      </c>
      <c r="H73" s="3">
        <v>413</v>
      </c>
    </row>
    <row r="74" spans="1:8" ht="29.25" x14ac:dyDescent="0.25">
      <c r="A74" s="2" t="str">
        <f>"00013121"</f>
        <v>00013121</v>
      </c>
      <c r="B74" s="2" t="str">
        <f t="shared" si="0"/>
        <v>SG</v>
      </c>
      <c r="C74" s="4" t="s">
        <v>50</v>
      </c>
      <c r="D74" s="4" t="s">
        <v>0</v>
      </c>
      <c r="E74" s="4" t="s">
        <v>12</v>
      </c>
      <c r="F74" s="2" t="s">
        <v>0</v>
      </c>
      <c r="G74" s="2" t="str">
        <f t="shared" si="4"/>
        <v>01</v>
      </c>
      <c r="H74" s="3">
        <v>413</v>
      </c>
    </row>
    <row r="75" spans="1:8" ht="29.25" x14ac:dyDescent="0.25">
      <c r="A75" s="2" t="str">
        <f>"00013122"</f>
        <v>00013122</v>
      </c>
      <c r="B75" s="2" t="str">
        <f t="shared" si="0"/>
        <v>SG</v>
      </c>
      <c r="C75" s="4" t="s">
        <v>51</v>
      </c>
      <c r="D75" s="4" t="s">
        <v>0</v>
      </c>
      <c r="E75" s="4" t="s">
        <v>12</v>
      </c>
      <c r="F75" s="2" t="s">
        <v>0</v>
      </c>
      <c r="G75" s="2" t="str">
        <f t="shared" si="4"/>
        <v>01</v>
      </c>
      <c r="H75" s="3">
        <v>413</v>
      </c>
    </row>
    <row r="76" spans="1:8" ht="29.25" x14ac:dyDescent="0.25">
      <c r="A76" s="2" t="str">
        <f>"00013131"</f>
        <v>00013131</v>
      </c>
      <c r="B76" s="2" t="str">
        <f t="shared" si="0"/>
        <v>SG</v>
      </c>
      <c r="C76" s="4" t="s">
        <v>50</v>
      </c>
      <c r="D76" s="4" t="s">
        <v>0</v>
      </c>
      <c r="E76" s="4" t="s">
        <v>12</v>
      </c>
      <c r="F76" s="2" t="s">
        <v>0</v>
      </c>
      <c r="G76" s="2" t="str">
        <f t="shared" si="4"/>
        <v>01</v>
      </c>
      <c r="H76" s="3">
        <v>413</v>
      </c>
    </row>
    <row r="77" spans="1:8" ht="29.25" x14ac:dyDescent="0.25">
      <c r="A77" s="2" t="str">
        <f>"00013132"</f>
        <v>00013132</v>
      </c>
      <c r="B77" s="2" t="str">
        <f t="shared" ref="B77:B140" si="5">"SG"</f>
        <v>SG</v>
      </c>
      <c r="C77" s="4" t="s">
        <v>50</v>
      </c>
      <c r="D77" s="4" t="s">
        <v>0</v>
      </c>
      <c r="E77" s="4" t="s">
        <v>12</v>
      </c>
      <c r="F77" s="2" t="s">
        <v>0</v>
      </c>
      <c r="G77" s="2" t="str">
        <f t="shared" si="4"/>
        <v>01</v>
      </c>
      <c r="H77" s="3">
        <v>413</v>
      </c>
    </row>
    <row r="78" spans="1:8" ht="29.25" x14ac:dyDescent="0.25">
      <c r="A78" s="2" t="str">
        <f>"00013133"</f>
        <v>00013133</v>
      </c>
      <c r="B78" s="2" t="str">
        <f t="shared" si="5"/>
        <v>SG</v>
      </c>
      <c r="C78" s="4" t="s">
        <v>51</v>
      </c>
      <c r="D78" s="4" t="s">
        <v>0</v>
      </c>
      <c r="E78" s="4" t="s">
        <v>12</v>
      </c>
      <c r="F78" s="2" t="s">
        <v>0</v>
      </c>
      <c r="G78" s="2" t="str">
        <f t="shared" si="4"/>
        <v>01</v>
      </c>
      <c r="H78" s="3">
        <v>413</v>
      </c>
    </row>
    <row r="79" spans="1:8" ht="29.25" x14ac:dyDescent="0.25">
      <c r="A79" s="2" t="str">
        <f>"00013151"</f>
        <v>00013151</v>
      </c>
      <c r="B79" s="2" t="str">
        <f t="shared" si="5"/>
        <v>SG</v>
      </c>
      <c r="C79" s="4" t="s">
        <v>50</v>
      </c>
      <c r="D79" s="4" t="s">
        <v>0</v>
      </c>
      <c r="E79" s="4" t="s">
        <v>12</v>
      </c>
      <c r="F79" s="2" t="s">
        <v>0</v>
      </c>
      <c r="G79" s="2" t="str">
        <f t="shared" si="4"/>
        <v>01</v>
      </c>
      <c r="H79" s="3">
        <v>413</v>
      </c>
    </row>
    <row r="80" spans="1:8" ht="29.25" x14ac:dyDescent="0.25">
      <c r="A80" s="2" t="str">
        <f>"00013152"</f>
        <v>00013152</v>
      </c>
      <c r="B80" s="2" t="str">
        <f t="shared" si="5"/>
        <v>SG</v>
      </c>
      <c r="C80" s="4" t="s">
        <v>50</v>
      </c>
      <c r="D80" s="4" t="s">
        <v>0</v>
      </c>
      <c r="E80" s="4" t="s">
        <v>12</v>
      </c>
      <c r="F80" s="2" t="s">
        <v>0</v>
      </c>
      <c r="G80" s="2" t="str">
        <f t="shared" si="4"/>
        <v>01</v>
      </c>
      <c r="H80" s="3">
        <v>413</v>
      </c>
    </row>
    <row r="81" spans="1:8" ht="29.25" x14ac:dyDescent="0.25">
      <c r="A81" s="2" t="str">
        <f>"00013153"</f>
        <v>00013153</v>
      </c>
      <c r="B81" s="2" t="str">
        <f t="shared" si="5"/>
        <v>SG</v>
      </c>
      <c r="C81" s="4" t="s">
        <v>51</v>
      </c>
      <c r="D81" s="4" t="s">
        <v>0</v>
      </c>
      <c r="E81" s="4" t="s">
        <v>12</v>
      </c>
      <c r="F81" s="2" t="s">
        <v>0</v>
      </c>
      <c r="G81" s="2" t="str">
        <f>"03"</f>
        <v>03</v>
      </c>
      <c r="H81" s="3">
        <v>637</v>
      </c>
    </row>
    <row r="82" spans="1:8" x14ac:dyDescent="0.25">
      <c r="A82" s="2" t="str">
        <f>"00013160"</f>
        <v>00013160</v>
      </c>
      <c r="B82" s="2" t="str">
        <f t="shared" si="5"/>
        <v>SG</v>
      </c>
      <c r="C82" s="4" t="s">
        <v>52</v>
      </c>
      <c r="D82" s="4" t="s">
        <v>0</v>
      </c>
      <c r="E82" s="4" t="s">
        <v>12</v>
      </c>
      <c r="F82" s="2" t="s">
        <v>0</v>
      </c>
      <c r="G82" s="2" t="str">
        <f t="shared" ref="G82:G87" si="6">"01"</f>
        <v>01</v>
      </c>
      <c r="H82" s="3">
        <v>413</v>
      </c>
    </row>
    <row r="83" spans="1:8" ht="29.25" x14ac:dyDescent="0.25">
      <c r="A83" s="2" t="str">
        <f>"00014000"</f>
        <v>00014000</v>
      </c>
      <c r="B83" s="2" t="str">
        <f t="shared" si="5"/>
        <v>SG</v>
      </c>
      <c r="C83" s="4" t="s">
        <v>53</v>
      </c>
      <c r="D83" s="4" t="s">
        <v>0</v>
      </c>
      <c r="E83" s="4" t="s">
        <v>12</v>
      </c>
      <c r="F83" s="2" t="s">
        <v>0</v>
      </c>
      <c r="G83" s="2" t="str">
        <f t="shared" si="6"/>
        <v>01</v>
      </c>
      <c r="H83" s="3">
        <v>413</v>
      </c>
    </row>
    <row r="84" spans="1:8" ht="29.25" x14ac:dyDescent="0.25">
      <c r="A84" s="2" t="str">
        <f>"00014001"</f>
        <v>00014001</v>
      </c>
      <c r="B84" s="2" t="str">
        <f t="shared" si="5"/>
        <v>SG</v>
      </c>
      <c r="C84" s="4" t="s">
        <v>53</v>
      </c>
      <c r="D84" s="4" t="s">
        <v>0</v>
      </c>
      <c r="E84" s="4" t="s">
        <v>12</v>
      </c>
      <c r="F84" s="2" t="s">
        <v>0</v>
      </c>
      <c r="G84" s="2" t="str">
        <f t="shared" si="6"/>
        <v>01</v>
      </c>
      <c r="H84" s="3">
        <v>413</v>
      </c>
    </row>
    <row r="85" spans="1:8" ht="29.25" x14ac:dyDescent="0.25">
      <c r="A85" s="2" t="str">
        <f>"00014020"</f>
        <v>00014020</v>
      </c>
      <c r="B85" s="2" t="str">
        <f t="shared" si="5"/>
        <v>SG</v>
      </c>
      <c r="C85" s="4" t="s">
        <v>53</v>
      </c>
      <c r="D85" s="4" t="s">
        <v>0</v>
      </c>
      <c r="E85" s="4" t="s">
        <v>12</v>
      </c>
      <c r="F85" s="2" t="s">
        <v>0</v>
      </c>
      <c r="G85" s="2" t="str">
        <f t="shared" si="6"/>
        <v>01</v>
      </c>
      <c r="H85" s="3">
        <v>413</v>
      </c>
    </row>
    <row r="86" spans="1:8" ht="29.25" x14ac:dyDescent="0.25">
      <c r="A86" s="2" t="str">
        <f>"00014021"</f>
        <v>00014021</v>
      </c>
      <c r="B86" s="2" t="str">
        <f t="shared" si="5"/>
        <v>SG</v>
      </c>
      <c r="C86" s="4" t="s">
        <v>53</v>
      </c>
      <c r="D86" s="4" t="s">
        <v>0</v>
      </c>
      <c r="E86" s="4" t="s">
        <v>12</v>
      </c>
      <c r="F86" s="2" t="s">
        <v>0</v>
      </c>
      <c r="G86" s="2" t="str">
        <f t="shared" si="6"/>
        <v>01</v>
      </c>
      <c r="H86" s="3">
        <v>413</v>
      </c>
    </row>
    <row r="87" spans="1:8" ht="29.25" x14ac:dyDescent="0.25">
      <c r="A87" s="2" t="str">
        <f>"00014040"</f>
        <v>00014040</v>
      </c>
      <c r="B87" s="2" t="str">
        <f t="shared" si="5"/>
        <v>SG</v>
      </c>
      <c r="C87" s="4" t="s">
        <v>53</v>
      </c>
      <c r="D87" s="4" t="s">
        <v>0</v>
      </c>
      <c r="E87" s="4" t="s">
        <v>12</v>
      </c>
      <c r="F87" s="2" t="s">
        <v>0</v>
      </c>
      <c r="G87" s="2" t="str">
        <f t="shared" si="6"/>
        <v>01</v>
      </c>
      <c r="H87" s="3">
        <v>413</v>
      </c>
    </row>
    <row r="88" spans="1:8" ht="29.25" x14ac:dyDescent="0.25">
      <c r="A88" s="2" t="str">
        <f>"00014041"</f>
        <v>00014041</v>
      </c>
      <c r="B88" s="2" t="str">
        <f t="shared" si="5"/>
        <v>SG</v>
      </c>
      <c r="C88" s="4" t="s">
        <v>53</v>
      </c>
      <c r="D88" s="4" t="s">
        <v>0</v>
      </c>
      <c r="E88" s="4" t="s">
        <v>12</v>
      </c>
      <c r="F88" s="2" t="s">
        <v>0</v>
      </c>
      <c r="G88" s="2" t="str">
        <f>"03"</f>
        <v>03</v>
      </c>
      <c r="H88" s="3">
        <v>637</v>
      </c>
    </row>
    <row r="89" spans="1:8" ht="29.25" x14ac:dyDescent="0.25">
      <c r="A89" s="2" t="str">
        <f>"00014060"</f>
        <v>00014060</v>
      </c>
      <c r="B89" s="2" t="str">
        <f t="shared" si="5"/>
        <v>SG</v>
      </c>
      <c r="C89" s="4" t="s">
        <v>53</v>
      </c>
      <c r="D89" s="4" t="s">
        <v>0</v>
      </c>
      <c r="E89" s="4" t="s">
        <v>12</v>
      </c>
      <c r="F89" s="2" t="s">
        <v>0</v>
      </c>
      <c r="G89" s="2" t="str">
        <f>"01"</f>
        <v>01</v>
      </c>
      <c r="H89" s="3">
        <v>413</v>
      </c>
    </row>
    <row r="90" spans="1:8" ht="29.25" x14ac:dyDescent="0.25">
      <c r="A90" s="2" t="str">
        <f>"00014061"</f>
        <v>00014061</v>
      </c>
      <c r="B90" s="2" t="str">
        <f t="shared" si="5"/>
        <v>SG</v>
      </c>
      <c r="C90" s="4" t="s">
        <v>53</v>
      </c>
      <c r="D90" s="4" t="s">
        <v>0</v>
      </c>
      <c r="E90" s="4" t="s">
        <v>12</v>
      </c>
      <c r="F90" s="2" t="s">
        <v>0</v>
      </c>
      <c r="G90" s="2" t="str">
        <f>"01"</f>
        <v>01</v>
      </c>
      <c r="H90" s="3">
        <v>413</v>
      </c>
    </row>
    <row r="91" spans="1:8" ht="29.25" x14ac:dyDescent="0.25">
      <c r="A91" s="2" t="str">
        <f>"00014301"</f>
        <v>00014301</v>
      </c>
      <c r="B91" s="2" t="str">
        <f t="shared" si="5"/>
        <v>SG</v>
      </c>
      <c r="C91" s="4" t="s">
        <v>54</v>
      </c>
      <c r="D91" s="4" t="s">
        <v>0</v>
      </c>
      <c r="E91" s="4" t="s">
        <v>12</v>
      </c>
      <c r="F91" s="2" t="s">
        <v>0</v>
      </c>
      <c r="G91" s="2" t="str">
        <f>"03"</f>
        <v>03</v>
      </c>
      <c r="H91" s="3">
        <v>637</v>
      </c>
    </row>
    <row r="92" spans="1:8" ht="29.25" x14ac:dyDescent="0.25">
      <c r="A92" s="2" t="str">
        <f>"00014302"</f>
        <v>00014302</v>
      </c>
      <c r="B92" s="2" t="str">
        <f t="shared" si="5"/>
        <v>SG</v>
      </c>
      <c r="C92" s="4" t="s">
        <v>55</v>
      </c>
      <c r="D92" s="4" t="s">
        <v>0</v>
      </c>
      <c r="E92" s="4" t="s">
        <v>12</v>
      </c>
      <c r="F92" s="2" t="s">
        <v>0</v>
      </c>
      <c r="G92" s="2" t="str">
        <f>"07"</f>
        <v>07</v>
      </c>
      <c r="H92" s="3">
        <v>1233</v>
      </c>
    </row>
    <row r="93" spans="1:8" ht="29.25" x14ac:dyDescent="0.25">
      <c r="A93" s="2" t="str">
        <f>"00014350"</f>
        <v>00014350</v>
      </c>
      <c r="B93" s="2" t="str">
        <f t="shared" si="5"/>
        <v>SG</v>
      </c>
      <c r="C93" s="4" t="s">
        <v>53</v>
      </c>
      <c r="D93" s="4" t="s">
        <v>0</v>
      </c>
      <c r="E93" s="4" t="s">
        <v>12</v>
      </c>
      <c r="F93" s="2" t="s">
        <v>0</v>
      </c>
      <c r="G93" s="2" t="str">
        <f>"02"</f>
        <v>02</v>
      </c>
      <c r="H93" s="3">
        <v>552</v>
      </c>
    </row>
    <row r="94" spans="1:8" ht="29.25" x14ac:dyDescent="0.25">
      <c r="A94" s="2" t="str">
        <f>"00015002"</f>
        <v>00015002</v>
      </c>
      <c r="B94" s="2" t="str">
        <f t="shared" si="5"/>
        <v>SG</v>
      </c>
      <c r="C94" s="4" t="s">
        <v>56</v>
      </c>
      <c r="D94" s="4" t="s">
        <v>0</v>
      </c>
      <c r="E94" s="4" t="s">
        <v>12</v>
      </c>
      <c r="F94" s="2" t="s">
        <v>0</v>
      </c>
      <c r="G94" s="2" t="str">
        <f t="shared" ref="G94:G99" si="7">"01"</f>
        <v>01</v>
      </c>
      <c r="H94" s="3">
        <v>413</v>
      </c>
    </row>
    <row r="95" spans="1:8" ht="29.25" x14ac:dyDescent="0.25">
      <c r="A95" s="2" t="str">
        <f>"00015003"</f>
        <v>00015003</v>
      </c>
      <c r="B95" s="2" t="str">
        <f t="shared" si="5"/>
        <v>SG</v>
      </c>
      <c r="C95" s="4" t="s">
        <v>57</v>
      </c>
      <c r="D95" s="4" t="s">
        <v>0</v>
      </c>
      <c r="E95" s="4" t="s">
        <v>12</v>
      </c>
      <c r="F95" s="2" t="s">
        <v>0</v>
      </c>
      <c r="G95" s="2" t="str">
        <f t="shared" si="7"/>
        <v>01</v>
      </c>
      <c r="H95" s="3">
        <v>413</v>
      </c>
    </row>
    <row r="96" spans="1:8" x14ac:dyDescent="0.25">
      <c r="A96" s="2" t="str">
        <f>"00015004"</f>
        <v>00015004</v>
      </c>
      <c r="B96" s="2" t="str">
        <f t="shared" si="5"/>
        <v>SG</v>
      </c>
      <c r="C96" s="4" t="s">
        <v>58</v>
      </c>
      <c r="D96" s="4" t="s">
        <v>0</v>
      </c>
      <c r="E96" s="4" t="s">
        <v>12</v>
      </c>
      <c r="F96" s="2" t="s">
        <v>0</v>
      </c>
      <c r="G96" s="2" t="str">
        <f t="shared" si="7"/>
        <v>01</v>
      </c>
      <c r="H96" s="3">
        <v>413</v>
      </c>
    </row>
    <row r="97" spans="1:8" ht="29.25" x14ac:dyDescent="0.25">
      <c r="A97" s="2" t="str">
        <f>"00015005"</f>
        <v>00015005</v>
      </c>
      <c r="B97" s="2" t="str">
        <f t="shared" si="5"/>
        <v>SG</v>
      </c>
      <c r="C97" s="4" t="s">
        <v>59</v>
      </c>
      <c r="D97" s="4" t="s">
        <v>0</v>
      </c>
      <c r="E97" s="4" t="s">
        <v>12</v>
      </c>
      <c r="F97" s="2" t="s">
        <v>0</v>
      </c>
      <c r="G97" s="2" t="str">
        <f t="shared" si="7"/>
        <v>01</v>
      </c>
      <c r="H97" s="3">
        <v>413</v>
      </c>
    </row>
    <row r="98" spans="1:8" ht="29.25" x14ac:dyDescent="0.25">
      <c r="A98" s="2" t="str">
        <f>"00015040"</f>
        <v>00015040</v>
      </c>
      <c r="B98" s="2" t="str">
        <f t="shared" si="5"/>
        <v>SG</v>
      </c>
      <c r="C98" s="4" t="s">
        <v>60</v>
      </c>
      <c r="D98" s="4" t="s">
        <v>0</v>
      </c>
      <c r="E98" s="4" t="s">
        <v>12</v>
      </c>
      <c r="F98" s="2" t="s">
        <v>0</v>
      </c>
      <c r="G98" s="2" t="str">
        <f t="shared" si="7"/>
        <v>01</v>
      </c>
      <c r="H98" s="3">
        <v>413</v>
      </c>
    </row>
    <row r="99" spans="1:8" x14ac:dyDescent="0.25">
      <c r="A99" s="2" t="str">
        <f>"00015050"</f>
        <v>00015050</v>
      </c>
      <c r="B99" s="2" t="str">
        <f t="shared" si="5"/>
        <v>SG</v>
      </c>
      <c r="C99" s="4" t="s">
        <v>61</v>
      </c>
      <c r="D99" s="4" t="s">
        <v>0</v>
      </c>
      <c r="E99" s="4" t="s">
        <v>12</v>
      </c>
      <c r="F99" s="2" t="s">
        <v>0</v>
      </c>
      <c r="G99" s="2" t="str">
        <f t="shared" si="7"/>
        <v>01</v>
      </c>
      <c r="H99" s="3">
        <v>413</v>
      </c>
    </row>
    <row r="100" spans="1:8" ht="29.25" x14ac:dyDescent="0.25">
      <c r="A100" s="2" t="str">
        <f>"00015100"</f>
        <v>00015100</v>
      </c>
      <c r="B100" s="2" t="str">
        <f t="shared" si="5"/>
        <v>SG</v>
      </c>
      <c r="C100" s="4" t="s">
        <v>62</v>
      </c>
      <c r="D100" s="4" t="s">
        <v>0</v>
      </c>
      <c r="E100" s="4" t="s">
        <v>12</v>
      </c>
      <c r="F100" s="2" t="s">
        <v>0</v>
      </c>
      <c r="G100" s="2" t="str">
        <f>"07"</f>
        <v>07</v>
      </c>
      <c r="H100" s="3">
        <v>1233</v>
      </c>
    </row>
    <row r="101" spans="1:8" ht="29.25" x14ac:dyDescent="0.25">
      <c r="A101" s="2" t="str">
        <f>"00015101"</f>
        <v>00015101</v>
      </c>
      <c r="B101" s="2" t="str">
        <f t="shared" si="5"/>
        <v>SG</v>
      </c>
      <c r="C101" s="4" t="s">
        <v>63</v>
      </c>
      <c r="D101" s="4" t="s">
        <v>0</v>
      </c>
      <c r="E101" s="4" t="s">
        <v>12</v>
      </c>
      <c r="F101" s="2" t="s">
        <v>0</v>
      </c>
      <c r="G101" s="2" t="str">
        <f>"03"</f>
        <v>03</v>
      </c>
      <c r="H101" s="3">
        <v>637</v>
      </c>
    </row>
    <row r="102" spans="1:8" ht="29.25" x14ac:dyDescent="0.25">
      <c r="A102" s="2" t="str">
        <f>"00015110"</f>
        <v>00015110</v>
      </c>
      <c r="B102" s="2" t="str">
        <f t="shared" si="5"/>
        <v>SG</v>
      </c>
      <c r="C102" s="4" t="s">
        <v>64</v>
      </c>
      <c r="D102" s="4" t="s">
        <v>0</v>
      </c>
      <c r="E102" s="4" t="s">
        <v>12</v>
      </c>
      <c r="F102" s="2" t="s">
        <v>0</v>
      </c>
      <c r="G102" s="2" t="str">
        <f>"02"</f>
        <v>02</v>
      </c>
      <c r="H102" s="3">
        <v>552</v>
      </c>
    </row>
    <row r="103" spans="1:8" ht="29.25" x14ac:dyDescent="0.25">
      <c r="A103" s="2" t="str">
        <f>"00015111"</f>
        <v>00015111</v>
      </c>
      <c r="B103" s="2" t="str">
        <f t="shared" si="5"/>
        <v>SG</v>
      </c>
      <c r="C103" s="4" t="s">
        <v>65</v>
      </c>
      <c r="D103" s="4" t="s">
        <v>0</v>
      </c>
      <c r="E103" s="4" t="s">
        <v>12</v>
      </c>
      <c r="F103" s="2" t="s">
        <v>0</v>
      </c>
      <c r="G103" s="2" t="str">
        <f>"01"</f>
        <v>01</v>
      </c>
      <c r="H103" s="3">
        <v>413</v>
      </c>
    </row>
    <row r="104" spans="1:8" ht="29.25" x14ac:dyDescent="0.25">
      <c r="A104" s="2" t="str">
        <f>"00015115"</f>
        <v>00015115</v>
      </c>
      <c r="B104" s="2" t="str">
        <f t="shared" si="5"/>
        <v>SG</v>
      </c>
      <c r="C104" s="4" t="s">
        <v>66</v>
      </c>
      <c r="D104" s="4" t="s">
        <v>0</v>
      </c>
      <c r="E104" s="4" t="s">
        <v>12</v>
      </c>
      <c r="F104" s="2" t="s">
        <v>0</v>
      </c>
      <c r="G104" s="2" t="str">
        <f>"01"</f>
        <v>01</v>
      </c>
      <c r="H104" s="3">
        <v>413</v>
      </c>
    </row>
    <row r="105" spans="1:8" ht="29.25" x14ac:dyDescent="0.25">
      <c r="A105" s="2" t="str">
        <f>"00015116"</f>
        <v>00015116</v>
      </c>
      <c r="B105" s="2" t="str">
        <f t="shared" si="5"/>
        <v>SG</v>
      </c>
      <c r="C105" s="4" t="s">
        <v>67</v>
      </c>
      <c r="D105" s="4" t="s">
        <v>0</v>
      </c>
      <c r="E105" s="4" t="s">
        <v>12</v>
      </c>
      <c r="F105" s="2" t="s">
        <v>0</v>
      </c>
      <c r="G105" s="2" t="str">
        <f>"01"</f>
        <v>01</v>
      </c>
      <c r="H105" s="3">
        <v>413</v>
      </c>
    </row>
    <row r="106" spans="1:8" ht="29.25" x14ac:dyDescent="0.25">
      <c r="A106" s="2" t="str">
        <f>"00015120"</f>
        <v>00015120</v>
      </c>
      <c r="B106" s="2" t="str">
        <f t="shared" si="5"/>
        <v>SG</v>
      </c>
      <c r="C106" s="4" t="s">
        <v>68</v>
      </c>
      <c r="D106" s="4" t="s">
        <v>0</v>
      </c>
      <c r="E106" s="4" t="s">
        <v>12</v>
      </c>
      <c r="F106" s="2" t="s">
        <v>0</v>
      </c>
      <c r="G106" s="2" t="str">
        <f>"03"</f>
        <v>03</v>
      </c>
      <c r="H106" s="3">
        <v>637</v>
      </c>
    </row>
    <row r="107" spans="1:8" ht="29.25" x14ac:dyDescent="0.25">
      <c r="A107" s="2" t="str">
        <f>"00015121"</f>
        <v>00015121</v>
      </c>
      <c r="B107" s="2" t="str">
        <f t="shared" si="5"/>
        <v>SG</v>
      </c>
      <c r="C107" s="4" t="s">
        <v>69</v>
      </c>
      <c r="D107" s="4" t="s">
        <v>0</v>
      </c>
      <c r="E107" s="4" t="s">
        <v>12</v>
      </c>
      <c r="F107" s="2" t="s">
        <v>0</v>
      </c>
      <c r="G107" s="2" t="str">
        <f>"03"</f>
        <v>03</v>
      </c>
      <c r="H107" s="3">
        <v>637</v>
      </c>
    </row>
    <row r="108" spans="1:8" ht="29.25" x14ac:dyDescent="0.25">
      <c r="A108" s="2" t="str">
        <f>"00015130"</f>
        <v>00015130</v>
      </c>
      <c r="B108" s="2" t="str">
        <f t="shared" si="5"/>
        <v>SG</v>
      </c>
      <c r="C108" s="4" t="s">
        <v>70</v>
      </c>
      <c r="D108" s="4" t="s">
        <v>0</v>
      </c>
      <c r="E108" s="4" t="s">
        <v>12</v>
      </c>
      <c r="F108" s="2" t="s">
        <v>0</v>
      </c>
      <c r="G108" s="2" t="str">
        <f>"03"</f>
        <v>03</v>
      </c>
      <c r="H108" s="3">
        <v>637</v>
      </c>
    </row>
    <row r="109" spans="1:8" ht="29.25" x14ac:dyDescent="0.25">
      <c r="A109" s="2" t="str">
        <f>"00015131"</f>
        <v>00015131</v>
      </c>
      <c r="B109" s="2" t="str">
        <f t="shared" si="5"/>
        <v>SG</v>
      </c>
      <c r="C109" s="4" t="s">
        <v>71</v>
      </c>
      <c r="D109" s="4" t="s">
        <v>0</v>
      </c>
      <c r="E109" s="4" t="s">
        <v>12</v>
      </c>
      <c r="F109" s="2" t="s">
        <v>0</v>
      </c>
      <c r="G109" s="2" t="str">
        <f t="shared" ref="G109:G114" si="8">"01"</f>
        <v>01</v>
      </c>
      <c r="H109" s="3">
        <v>413</v>
      </c>
    </row>
    <row r="110" spans="1:8" ht="29.25" x14ac:dyDescent="0.25">
      <c r="A110" s="2" t="str">
        <f>"00015135"</f>
        <v>00015135</v>
      </c>
      <c r="B110" s="2" t="str">
        <f t="shared" si="5"/>
        <v>SG</v>
      </c>
      <c r="C110" s="4" t="s">
        <v>72</v>
      </c>
      <c r="D110" s="4" t="s">
        <v>0</v>
      </c>
      <c r="E110" s="4" t="s">
        <v>12</v>
      </c>
      <c r="F110" s="2" t="s">
        <v>0</v>
      </c>
      <c r="G110" s="2" t="str">
        <f t="shared" si="8"/>
        <v>01</v>
      </c>
      <c r="H110" s="3">
        <v>413</v>
      </c>
    </row>
    <row r="111" spans="1:8" ht="29.25" x14ac:dyDescent="0.25">
      <c r="A111" s="2" t="str">
        <f>"00015136"</f>
        <v>00015136</v>
      </c>
      <c r="B111" s="2" t="str">
        <f t="shared" si="5"/>
        <v>SG</v>
      </c>
      <c r="C111" s="4" t="s">
        <v>73</v>
      </c>
      <c r="D111" s="4" t="s">
        <v>0</v>
      </c>
      <c r="E111" s="4" t="s">
        <v>12</v>
      </c>
      <c r="F111" s="2" t="s">
        <v>0</v>
      </c>
      <c r="G111" s="2" t="str">
        <f t="shared" si="8"/>
        <v>01</v>
      </c>
      <c r="H111" s="3">
        <v>413</v>
      </c>
    </row>
    <row r="112" spans="1:8" ht="29.25" x14ac:dyDescent="0.25">
      <c r="A112" s="2" t="str">
        <f>"00015150"</f>
        <v>00015150</v>
      </c>
      <c r="B112" s="2" t="str">
        <f t="shared" si="5"/>
        <v>SG</v>
      </c>
      <c r="C112" s="4" t="s">
        <v>74</v>
      </c>
      <c r="D112" s="4" t="s">
        <v>0</v>
      </c>
      <c r="E112" s="4" t="s">
        <v>12</v>
      </c>
      <c r="F112" s="2" t="s">
        <v>0</v>
      </c>
      <c r="G112" s="2" t="str">
        <f t="shared" si="8"/>
        <v>01</v>
      </c>
      <c r="H112" s="3">
        <v>413</v>
      </c>
    </row>
    <row r="113" spans="1:8" ht="29.25" x14ac:dyDescent="0.25">
      <c r="A113" s="2" t="str">
        <f>"00015151"</f>
        <v>00015151</v>
      </c>
      <c r="B113" s="2" t="str">
        <f t="shared" si="5"/>
        <v>SG</v>
      </c>
      <c r="C113" s="4" t="s">
        <v>75</v>
      </c>
      <c r="D113" s="4" t="s">
        <v>0</v>
      </c>
      <c r="E113" s="4" t="s">
        <v>12</v>
      </c>
      <c r="F113" s="2" t="s">
        <v>0</v>
      </c>
      <c r="G113" s="2" t="str">
        <f t="shared" si="8"/>
        <v>01</v>
      </c>
      <c r="H113" s="3">
        <v>413</v>
      </c>
    </row>
    <row r="114" spans="1:8" ht="29.25" x14ac:dyDescent="0.25">
      <c r="A114" s="2" t="str">
        <f>"00015152"</f>
        <v>00015152</v>
      </c>
      <c r="B114" s="2" t="str">
        <f t="shared" si="5"/>
        <v>SG</v>
      </c>
      <c r="C114" s="4" t="s">
        <v>76</v>
      </c>
      <c r="D114" s="4" t="s">
        <v>0</v>
      </c>
      <c r="E114" s="4" t="s">
        <v>12</v>
      </c>
      <c r="F114" s="2" t="s">
        <v>0</v>
      </c>
      <c r="G114" s="2" t="str">
        <f t="shared" si="8"/>
        <v>01</v>
      </c>
      <c r="H114" s="3">
        <v>413</v>
      </c>
    </row>
    <row r="115" spans="1:8" ht="29.25" x14ac:dyDescent="0.25">
      <c r="A115" s="2" t="str">
        <f>"00015155"</f>
        <v>00015155</v>
      </c>
      <c r="B115" s="2" t="str">
        <f t="shared" si="5"/>
        <v>SG</v>
      </c>
      <c r="C115" s="4" t="s">
        <v>77</v>
      </c>
      <c r="D115" s="4" t="s">
        <v>0</v>
      </c>
      <c r="E115" s="4" t="s">
        <v>12</v>
      </c>
      <c r="F115" s="2" t="s">
        <v>0</v>
      </c>
      <c r="G115" s="2" t="str">
        <f>"03"</f>
        <v>03</v>
      </c>
      <c r="H115" s="3">
        <v>637</v>
      </c>
    </row>
    <row r="116" spans="1:8" ht="29.25" x14ac:dyDescent="0.25">
      <c r="A116" s="2" t="str">
        <f>"00015156"</f>
        <v>00015156</v>
      </c>
      <c r="B116" s="2" t="str">
        <f t="shared" si="5"/>
        <v>SG</v>
      </c>
      <c r="C116" s="4" t="s">
        <v>78</v>
      </c>
      <c r="D116" s="4" t="s">
        <v>0</v>
      </c>
      <c r="E116" s="4" t="s">
        <v>12</v>
      </c>
      <c r="F116" s="2" t="s">
        <v>0</v>
      </c>
      <c r="G116" s="2" t="str">
        <f>"01"</f>
        <v>01</v>
      </c>
      <c r="H116" s="3">
        <v>413</v>
      </c>
    </row>
    <row r="117" spans="1:8" ht="29.25" x14ac:dyDescent="0.25">
      <c r="A117" s="2" t="str">
        <f>"00015157"</f>
        <v>00015157</v>
      </c>
      <c r="B117" s="2" t="str">
        <f t="shared" si="5"/>
        <v>SG</v>
      </c>
      <c r="C117" s="4" t="s">
        <v>79</v>
      </c>
      <c r="D117" s="4" t="s">
        <v>0</v>
      </c>
      <c r="E117" s="4" t="s">
        <v>12</v>
      </c>
      <c r="F117" s="2" t="s">
        <v>0</v>
      </c>
      <c r="G117" s="2" t="str">
        <f>"01"</f>
        <v>01</v>
      </c>
      <c r="H117" s="3">
        <v>413</v>
      </c>
    </row>
    <row r="118" spans="1:8" x14ac:dyDescent="0.25">
      <c r="A118" s="2" t="str">
        <f>"00015200"</f>
        <v>00015200</v>
      </c>
      <c r="B118" s="2" t="str">
        <f t="shared" si="5"/>
        <v>SG</v>
      </c>
      <c r="C118" s="4" t="s">
        <v>80</v>
      </c>
      <c r="D118" s="4" t="s">
        <v>0</v>
      </c>
      <c r="E118" s="4" t="s">
        <v>12</v>
      </c>
      <c r="F118" s="2" t="s">
        <v>0</v>
      </c>
      <c r="G118" s="2" t="str">
        <f>"03"</f>
        <v>03</v>
      </c>
      <c r="H118" s="3">
        <v>637</v>
      </c>
    </row>
    <row r="119" spans="1:8" ht="29.25" x14ac:dyDescent="0.25">
      <c r="A119" s="2" t="str">
        <f>"00015201"</f>
        <v>00015201</v>
      </c>
      <c r="B119" s="2" t="str">
        <f t="shared" si="5"/>
        <v>SG</v>
      </c>
      <c r="C119" s="4" t="s">
        <v>81</v>
      </c>
      <c r="D119" s="4" t="s">
        <v>0</v>
      </c>
      <c r="E119" s="4" t="s">
        <v>12</v>
      </c>
      <c r="F119" s="2" t="s">
        <v>0</v>
      </c>
      <c r="G119" s="2" t="str">
        <f>"01"</f>
        <v>01</v>
      </c>
      <c r="H119" s="3">
        <v>413</v>
      </c>
    </row>
    <row r="120" spans="1:8" ht="29.25" x14ac:dyDescent="0.25">
      <c r="A120" s="2" t="str">
        <f>"00015220"</f>
        <v>00015220</v>
      </c>
      <c r="B120" s="2" t="str">
        <f t="shared" si="5"/>
        <v>SG</v>
      </c>
      <c r="C120" s="4" t="s">
        <v>82</v>
      </c>
      <c r="D120" s="4" t="s">
        <v>0</v>
      </c>
      <c r="E120" s="4" t="s">
        <v>12</v>
      </c>
      <c r="F120" s="2" t="s">
        <v>0</v>
      </c>
      <c r="G120" s="2" t="str">
        <f>"01"</f>
        <v>01</v>
      </c>
      <c r="H120" s="3">
        <v>413</v>
      </c>
    </row>
    <row r="121" spans="1:8" x14ac:dyDescent="0.25">
      <c r="A121" s="2" t="str">
        <f>"00015221"</f>
        <v>00015221</v>
      </c>
      <c r="B121" s="2" t="str">
        <f t="shared" si="5"/>
        <v>SG</v>
      </c>
      <c r="C121" s="4" t="s">
        <v>83</v>
      </c>
      <c r="D121" s="4" t="s">
        <v>0</v>
      </c>
      <c r="E121" s="4" t="s">
        <v>12</v>
      </c>
      <c r="F121" s="2" t="s">
        <v>0</v>
      </c>
      <c r="G121" s="2" t="str">
        <f>"01"</f>
        <v>01</v>
      </c>
      <c r="H121" s="3">
        <v>413</v>
      </c>
    </row>
    <row r="122" spans="1:8" ht="29.25" x14ac:dyDescent="0.25">
      <c r="A122" s="2" t="str">
        <f>"00015240"</f>
        <v>00015240</v>
      </c>
      <c r="B122" s="2" t="str">
        <f t="shared" si="5"/>
        <v>SG</v>
      </c>
      <c r="C122" s="4" t="s">
        <v>84</v>
      </c>
      <c r="D122" s="4" t="s">
        <v>0</v>
      </c>
      <c r="E122" s="4" t="s">
        <v>12</v>
      </c>
      <c r="F122" s="2" t="s">
        <v>0</v>
      </c>
      <c r="G122" s="2" t="str">
        <f>"07"</f>
        <v>07</v>
      </c>
      <c r="H122" s="3">
        <v>1233</v>
      </c>
    </row>
    <row r="123" spans="1:8" x14ac:dyDescent="0.25">
      <c r="A123" s="2" t="str">
        <f>"00015241"</f>
        <v>00015241</v>
      </c>
      <c r="B123" s="2" t="str">
        <f t="shared" si="5"/>
        <v>SG</v>
      </c>
      <c r="C123" s="4" t="s">
        <v>83</v>
      </c>
      <c r="D123" s="4" t="s">
        <v>0</v>
      </c>
      <c r="E123" s="4" t="s">
        <v>12</v>
      </c>
      <c r="F123" s="2" t="s">
        <v>0</v>
      </c>
      <c r="G123" s="2" t="str">
        <f t="shared" ref="G123:G129" si="9">"01"</f>
        <v>01</v>
      </c>
      <c r="H123" s="3">
        <v>413</v>
      </c>
    </row>
    <row r="124" spans="1:8" ht="29.25" x14ac:dyDescent="0.25">
      <c r="A124" s="2" t="str">
        <f>"00015260"</f>
        <v>00015260</v>
      </c>
      <c r="B124" s="2" t="str">
        <f t="shared" si="5"/>
        <v>SG</v>
      </c>
      <c r="C124" s="4" t="s">
        <v>85</v>
      </c>
      <c r="D124" s="4" t="s">
        <v>0</v>
      </c>
      <c r="E124" s="4" t="s">
        <v>12</v>
      </c>
      <c r="F124" s="2" t="s">
        <v>0</v>
      </c>
      <c r="G124" s="2" t="str">
        <f t="shared" si="9"/>
        <v>01</v>
      </c>
      <c r="H124" s="3">
        <v>413</v>
      </c>
    </row>
    <row r="125" spans="1:8" x14ac:dyDescent="0.25">
      <c r="A125" s="2" t="str">
        <f>"00015261"</f>
        <v>00015261</v>
      </c>
      <c r="B125" s="2" t="str">
        <f t="shared" si="5"/>
        <v>SG</v>
      </c>
      <c r="C125" s="4" t="s">
        <v>83</v>
      </c>
      <c r="D125" s="4" t="s">
        <v>0</v>
      </c>
      <c r="E125" s="4" t="s">
        <v>12</v>
      </c>
      <c r="F125" s="2" t="s">
        <v>0</v>
      </c>
      <c r="G125" s="2" t="str">
        <f t="shared" si="9"/>
        <v>01</v>
      </c>
      <c r="H125" s="3">
        <v>413</v>
      </c>
    </row>
    <row r="126" spans="1:8" x14ac:dyDescent="0.25">
      <c r="A126" s="2" t="str">
        <f>"00015570"</f>
        <v>00015570</v>
      </c>
      <c r="B126" s="2" t="str">
        <f t="shared" si="5"/>
        <v>SG</v>
      </c>
      <c r="C126" s="4" t="s">
        <v>86</v>
      </c>
      <c r="D126" s="4" t="s">
        <v>0</v>
      </c>
      <c r="E126" s="4" t="s">
        <v>12</v>
      </c>
      <c r="F126" s="2" t="s">
        <v>0</v>
      </c>
      <c r="G126" s="2" t="str">
        <f t="shared" si="9"/>
        <v>01</v>
      </c>
      <c r="H126" s="3">
        <v>413</v>
      </c>
    </row>
    <row r="127" spans="1:8" x14ac:dyDescent="0.25">
      <c r="A127" s="2" t="str">
        <f>"00015572"</f>
        <v>00015572</v>
      </c>
      <c r="B127" s="2" t="str">
        <f t="shared" si="5"/>
        <v>SG</v>
      </c>
      <c r="C127" s="4" t="s">
        <v>86</v>
      </c>
      <c r="D127" s="4" t="s">
        <v>0</v>
      </c>
      <c r="E127" s="4" t="s">
        <v>12</v>
      </c>
      <c r="F127" s="2" t="s">
        <v>0</v>
      </c>
      <c r="G127" s="2" t="str">
        <f t="shared" si="9"/>
        <v>01</v>
      </c>
      <c r="H127" s="3">
        <v>413</v>
      </c>
    </row>
    <row r="128" spans="1:8" x14ac:dyDescent="0.25">
      <c r="A128" s="2" t="str">
        <f>"00015574"</f>
        <v>00015574</v>
      </c>
      <c r="B128" s="2" t="str">
        <f t="shared" si="5"/>
        <v>SG</v>
      </c>
      <c r="C128" s="4" t="s">
        <v>86</v>
      </c>
      <c r="D128" s="4" t="s">
        <v>0</v>
      </c>
      <c r="E128" s="4" t="s">
        <v>12</v>
      </c>
      <c r="F128" s="2" t="s">
        <v>0</v>
      </c>
      <c r="G128" s="2" t="str">
        <f t="shared" si="9"/>
        <v>01</v>
      </c>
      <c r="H128" s="3">
        <v>413</v>
      </c>
    </row>
    <row r="129" spans="1:8" x14ac:dyDescent="0.25">
      <c r="A129" s="2" t="str">
        <f>"00015576"</f>
        <v>00015576</v>
      </c>
      <c r="B129" s="2" t="str">
        <f t="shared" si="5"/>
        <v>SG</v>
      </c>
      <c r="C129" s="4" t="s">
        <v>86</v>
      </c>
      <c r="D129" s="4" t="s">
        <v>0</v>
      </c>
      <c r="E129" s="4" t="s">
        <v>12</v>
      </c>
      <c r="F129" s="2" t="s">
        <v>0</v>
      </c>
      <c r="G129" s="2" t="str">
        <f t="shared" si="9"/>
        <v>01</v>
      </c>
      <c r="H129" s="3">
        <v>413</v>
      </c>
    </row>
    <row r="130" spans="1:8" x14ac:dyDescent="0.25">
      <c r="A130" s="2" t="str">
        <f>"00015600"</f>
        <v>00015600</v>
      </c>
      <c r="B130" s="2" t="str">
        <f t="shared" si="5"/>
        <v>SG</v>
      </c>
      <c r="C130" s="4" t="s">
        <v>87</v>
      </c>
      <c r="D130" s="4" t="s">
        <v>0</v>
      </c>
      <c r="E130" s="4" t="s">
        <v>12</v>
      </c>
      <c r="F130" s="2" t="s">
        <v>0</v>
      </c>
      <c r="G130" s="2" t="str">
        <f>"03"</f>
        <v>03</v>
      </c>
      <c r="H130" s="3">
        <v>637</v>
      </c>
    </row>
    <row r="131" spans="1:8" x14ac:dyDescent="0.25">
      <c r="A131" s="2" t="str">
        <f>"00015610"</f>
        <v>00015610</v>
      </c>
      <c r="B131" s="2" t="str">
        <f t="shared" si="5"/>
        <v>SG</v>
      </c>
      <c r="C131" s="4" t="s">
        <v>87</v>
      </c>
      <c r="D131" s="4" t="s">
        <v>0</v>
      </c>
      <c r="E131" s="4" t="s">
        <v>12</v>
      </c>
      <c r="F131" s="2" t="s">
        <v>0</v>
      </c>
      <c r="G131" s="2" t="str">
        <f>"03"</f>
        <v>03</v>
      </c>
      <c r="H131" s="3">
        <v>637</v>
      </c>
    </row>
    <row r="132" spans="1:8" x14ac:dyDescent="0.25">
      <c r="A132" s="2" t="str">
        <f>"00015620"</f>
        <v>00015620</v>
      </c>
      <c r="B132" s="2" t="str">
        <f t="shared" si="5"/>
        <v>SG</v>
      </c>
      <c r="C132" s="4" t="s">
        <v>87</v>
      </c>
      <c r="D132" s="4" t="s">
        <v>0</v>
      </c>
      <c r="E132" s="4" t="s">
        <v>12</v>
      </c>
      <c r="F132" s="2" t="s">
        <v>0</v>
      </c>
      <c r="G132" s="2" t="str">
        <f>"01"</f>
        <v>01</v>
      </c>
      <c r="H132" s="3">
        <v>413</v>
      </c>
    </row>
    <row r="133" spans="1:8" x14ac:dyDescent="0.25">
      <c r="A133" s="2" t="str">
        <f>"00015630"</f>
        <v>00015630</v>
      </c>
      <c r="B133" s="2" t="str">
        <f t="shared" si="5"/>
        <v>SG</v>
      </c>
      <c r="C133" s="4" t="s">
        <v>87</v>
      </c>
      <c r="D133" s="4" t="s">
        <v>0</v>
      </c>
      <c r="E133" s="4" t="s">
        <v>12</v>
      </c>
      <c r="F133" s="2" t="s">
        <v>0</v>
      </c>
      <c r="G133" s="2" t="str">
        <f>"01"</f>
        <v>01</v>
      </c>
      <c r="H133" s="3">
        <v>413</v>
      </c>
    </row>
    <row r="134" spans="1:8" ht="29.25" x14ac:dyDescent="0.25">
      <c r="A134" s="2" t="str">
        <f>"00015650"</f>
        <v>00015650</v>
      </c>
      <c r="B134" s="2" t="str">
        <f t="shared" si="5"/>
        <v>SG</v>
      </c>
      <c r="C134" s="4" t="s">
        <v>88</v>
      </c>
      <c r="D134" s="4" t="s">
        <v>0</v>
      </c>
      <c r="E134" s="4" t="s">
        <v>12</v>
      </c>
      <c r="F134" s="2" t="s">
        <v>0</v>
      </c>
      <c r="G134" s="2" t="str">
        <f>"01"</f>
        <v>01</v>
      </c>
      <c r="H134" s="3">
        <v>413</v>
      </c>
    </row>
    <row r="135" spans="1:8" ht="57.75" x14ac:dyDescent="0.25">
      <c r="A135" s="2" t="str">
        <f>"00015730"</f>
        <v>00015730</v>
      </c>
      <c r="B135" s="2" t="str">
        <f t="shared" si="5"/>
        <v>SG</v>
      </c>
      <c r="C135" s="4" t="s">
        <v>89</v>
      </c>
      <c r="D135" s="4" t="s">
        <v>0</v>
      </c>
      <c r="E135" s="4" t="s">
        <v>12</v>
      </c>
      <c r="F135" s="2" t="s">
        <v>0</v>
      </c>
      <c r="G135" s="2" t="str">
        <f>"03"</f>
        <v>03</v>
      </c>
      <c r="H135" s="3">
        <v>637</v>
      </c>
    </row>
    <row r="136" spans="1:8" ht="29.25" x14ac:dyDescent="0.25">
      <c r="A136" s="2" t="str">
        <f>"00015731"</f>
        <v>00015731</v>
      </c>
      <c r="B136" s="2" t="str">
        <f t="shared" si="5"/>
        <v>SG</v>
      </c>
      <c r="C136" s="4" t="s">
        <v>90</v>
      </c>
      <c r="D136" s="4" t="s">
        <v>0</v>
      </c>
      <c r="E136" s="4" t="s">
        <v>12</v>
      </c>
      <c r="F136" s="2" t="s">
        <v>0</v>
      </c>
      <c r="G136" s="2" t="str">
        <f>"03"</f>
        <v>03</v>
      </c>
      <c r="H136" s="3">
        <v>637</v>
      </c>
    </row>
    <row r="137" spans="1:8" ht="43.5" x14ac:dyDescent="0.25">
      <c r="A137" s="2" t="str">
        <f>"00015733"</f>
        <v>00015733</v>
      </c>
      <c r="B137" s="2" t="str">
        <f t="shared" si="5"/>
        <v>SG</v>
      </c>
      <c r="C137" s="4" t="s">
        <v>91</v>
      </c>
      <c r="D137" s="4" t="s">
        <v>0</v>
      </c>
      <c r="E137" s="4" t="s">
        <v>12</v>
      </c>
      <c r="F137" s="2" t="s">
        <v>0</v>
      </c>
      <c r="G137" s="2" t="str">
        <f>"03"</f>
        <v>03</v>
      </c>
      <c r="H137" s="3">
        <v>637</v>
      </c>
    </row>
    <row r="138" spans="1:8" ht="29.25" x14ac:dyDescent="0.25">
      <c r="A138" s="2" t="str">
        <f>"00015734"</f>
        <v>00015734</v>
      </c>
      <c r="B138" s="2" t="str">
        <f t="shared" si="5"/>
        <v>SG</v>
      </c>
      <c r="C138" s="4" t="s">
        <v>92</v>
      </c>
      <c r="D138" s="4" t="s">
        <v>0</v>
      </c>
      <c r="E138" s="4" t="s">
        <v>12</v>
      </c>
      <c r="F138" s="2" t="s">
        <v>0</v>
      </c>
      <c r="G138" s="2" t="str">
        <f>"03"</f>
        <v>03</v>
      </c>
      <c r="H138" s="3">
        <v>637</v>
      </c>
    </row>
    <row r="139" spans="1:8" x14ac:dyDescent="0.25">
      <c r="A139" s="2" t="str">
        <f>"00015736"</f>
        <v>00015736</v>
      </c>
      <c r="B139" s="2" t="str">
        <f t="shared" si="5"/>
        <v>SG</v>
      </c>
      <c r="C139" s="4" t="s">
        <v>93</v>
      </c>
      <c r="D139" s="4" t="s">
        <v>0</v>
      </c>
      <c r="E139" s="4" t="s">
        <v>12</v>
      </c>
      <c r="F139" s="2" t="s">
        <v>0</v>
      </c>
      <c r="G139" s="2" t="str">
        <f>"01"</f>
        <v>01</v>
      </c>
      <c r="H139" s="3">
        <v>413</v>
      </c>
    </row>
    <row r="140" spans="1:8" x14ac:dyDescent="0.25">
      <c r="A140" s="2" t="str">
        <f>"00015738"</f>
        <v>00015738</v>
      </c>
      <c r="B140" s="2" t="str">
        <f t="shared" si="5"/>
        <v>SG</v>
      </c>
      <c r="C140" s="4" t="s">
        <v>94</v>
      </c>
      <c r="D140" s="4" t="s">
        <v>0</v>
      </c>
      <c r="E140" s="4" t="s">
        <v>12</v>
      </c>
      <c r="F140" s="2" t="s">
        <v>0</v>
      </c>
      <c r="G140" s="2" t="str">
        <f>"03"</f>
        <v>03</v>
      </c>
      <c r="H140" s="3">
        <v>637</v>
      </c>
    </row>
    <row r="141" spans="1:8" ht="29.25" x14ac:dyDescent="0.25">
      <c r="A141" s="2" t="str">
        <f>"00015740"</f>
        <v>00015740</v>
      </c>
      <c r="B141" s="2" t="str">
        <f t="shared" ref="B141:B204" si="10">"SG"</f>
        <v>SG</v>
      </c>
      <c r="C141" s="4" t="s">
        <v>95</v>
      </c>
      <c r="D141" s="4" t="s">
        <v>0</v>
      </c>
      <c r="E141" s="4" t="s">
        <v>12</v>
      </c>
      <c r="F141" s="2" t="s">
        <v>0</v>
      </c>
      <c r="G141" s="2" t="str">
        <f>"01"</f>
        <v>01</v>
      </c>
      <c r="H141" s="3">
        <v>413</v>
      </c>
    </row>
    <row r="142" spans="1:8" ht="29.25" x14ac:dyDescent="0.25">
      <c r="A142" s="2" t="str">
        <f>"00015750"</f>
        <v>00015750</v>
      </c>
      <c r="B142" s="2" t="str">
        <f t="shared" si="10"/>
        <v>SG</v>
      </c>
      <c r="C142" s="4" t="s">
        <v>96</v>
      </c>
      <c r="D142" s="4" t="s">
        <v>0</v>
      </c>
      <c r="E142" s="4" t="s">
        <v>12</v>
      </c>
      <c r="F142" s="2" t="s">
        <v>0</v>
      </c>
      <c r="G142" s="2" t="str">
        <f>"01"</f>
        <v>01</v>
      </c>
      <c r="H142" s="3">
        <v>413</v>
      </c>
    </row>
    <row r="143" spans="1:8" x14ac:dyDescent="0.25">
      <c r="A143" s="2" t="str">
        <f>"00015760"</f>
        <v>00015760</v>
      </c>
      <c r="B143" s="2" t="str">
        <f t="shared" si="10"/>
        <v>SG</v>
      </c>
      <c r="C143" s="4" t="s">
        <v>97</v>
      </c>
      <c r="D143" s="4" t="s">
        <v>0</v>
      </c>
      <c r="E143" s="4" t="s">
        <v>12</v>
      </c>
      <c r="F143" s="2" t="s">
        <v>0</v>
      </c>
      <c r="G143" s="2" t="str">
        <f>"01"</f>
        <v>01</v>
      </c>
      <c r="H143" s="3">
        <v>413</v>
      </c>
    </row>
    <row r="144" spans="1:8" x14ac:dyDescent="0.25">
      <c r="A144" s="2" t="str">
        <f>"00015770"</f>
        <v>00015770</v>
      </c>
      <c r="B144" s="2" t="str">
        <f t="shared" si="10"/>
        <v>SG</v>
      </c>
      <c r="C144" s="4" t="s">
        <v>98</v>
      </c>
      <c r="D144" s="4" t="s">
        <v>0</v>
      </c>
      <c r="E144" s="4" t="s">
        <v>12</v>
      </c>
      <c r="F144" s="2" t="s">
        <v>0</v>
      </c>
      <c r="G144" s="2" t="str">
        <f>"03"</f>
        <v>03</v>
      </c>
      <c r="H144" s="3">
        <v>637</v>
      </c>
    </row>
    <row r="145" spans="1:8" ht="29.25" x14ac:dyDescent="0.25">
      <c r="A145" s="2" t="str">
        <f>"00015776"</f>
        <v>00015776</v>
      </c>
      <c r="B145" s="2" t="str">
        <f t="shared" si="10"/>
        <v>SG</v>
      </c>
      <c r="C145" s="4" t="s">
        <v>99</v>
      </c>
      <c r="D145" s="4" t="s">
        <v>0</v>
      </c>
      <c r="E145" s="4" t="s">
        <v>12</v>
      </c>
      <c r="F145" s="2" t="s">
        <v>0</v>
      </c>
      <c r="G145" s="2" t="str">
        <f t="shared" ref="G145:G150" si="11">"01"</f>
        <v>01</v>
      </c>
      <c r="H145" s="3">
        <v>413</v>
      </c>
    </row>
    <row r="146" spans="1:8" ht="29.25" x14ac:dyDescent="0.25">
      <c r="A146" s="2" t="str">
        <f>"00015820"</f>
        <v>00015820</v>
      </c>
      <c r="B146" s="2" t="str">
        <f t="shared" si="10"/>
        <v>SG</v>
      </c>
      <c r="C146" s="4" t="s">
        <v>100</v>
      </c>
      <c r="D146" s="4" t="s">
        <v>101</v>
      </c>
      <c r="E146" s="4" t="s">
        <v>12</v>
      </c>
      <c r="F146" s="2" t="s">
        <v>0</v>
      </c>
      <c r="G146" s="2" t="str">
        <f t="shared" si="11"/>
        <v>01</v>
      </c>
      <c r="H146" s="3">
        <v>413</v>
      </c>
    </row>
    <row r="147" spans="1:8" ht="29.25" x14ac:dyDescent="0.25">
      <c r="A147" s="2" t="str">
        <f>"00015821"</f>
        <v>00015821</v>
      </c>
      <c r="B147" s="2" t="str">
        <f t="shared" si="10"/>
        <v>SG</v>
      </c>
      <c r="C147" s="4" t="s">
        <v>100</v>
      </c>
      <c r="D147" s="4" t="s">
        <v>101</v>
      </c>
      <c r="E147" s="4" t="s">
        <v>12</v>
      </c>
      <c r="F147" s="2" t="s">
        <v>0</v>
      </c>
      <c r="G147" s="2" t="str">
        <f t="shared" si="11"/>
        <v>01</v>
      </c>
      <c r="H147" s="3">
        <v>413</v>
      </c>
    </row>
    <row r="148" spans="1:8" x14ac:dyDescent="0.25">
      <c r="A148" s="2" t="str">
        <f>"00015822"</f>
        <v>00015822</v>
      </c>
      <c r="B148" s="2" t="str">
        <f t="shared" si="10"/>
        <v>SG</v>
      </c>
      <c r="C148" s="4" t="s">
        <v>102</v>
      </c>
      <c r="D148" s="4" t="s">
        <v>101</v>
      </c>
      <c r="E148" s="4" t="s">
        <v>12</v>
      </c>
      <c r="F148" s="2" t="s">
        <v>0</v>
      </c>
      <c r="G148" s="2" t="str">
        <f t="shared" si="11"/>
        <v>01</v>
      </c>
      <c r="H148" s="3">
        <v>413</v>
      </c>
    </row>
    <row r="149" spans="1:8" x14ac:dyDescent="0.25">
      <c r="A149" s="2" t="str">
        <f>"00015823"</f>
        <v>00015823</v>
      </c>
      <c r="B149" s="2" t="str">
        <f t="shared" si="10"/>
        <v>SG</v>
      </c>
      <c r="C149" s="4" t="s">
        <v>102</v>
      </c>
      <c r="D149" s="4" t="s">
        <v>101</v>
      </c>
      <c r="E149" s="4" t="s">
        <v>12</v>
      </c>
      <c r="F149" s="2" t="s">
        <v>0</v>
      </c>
      <c r="G149" s="2" t="str">
        <f t="shared" si="11"/>
        <v>01</v>
      </c>
      <c r="H149" s="3">
        <v>413</v>
      </c>
    </row>
    <row r="150" spans="1:8" ht="29.25" x14ac:dyDescent="0.25">
      <c r="A150" s="2" t="str">
        <f>"00015824"</f>
        <v>00015824</v>
      </c>
      <c r="B150" s="2" t="str">
        <f t="shared" si="10"/>
        <v>SG</v>
      </c>
      <c r="C150" s="4" t="s">
        <v>103</v>
      </c>
      <c r="D150" s="4" t="s">
        <v>101</v>
      </c>
      <c r="E150" s="4" t="s">
        <v>12</v>
      </c>
      <c r="F150" s="2" t="s">
        <v>0</v>
      </c>
      <c r="G150" s="2" t="str">
        <f t="shared" si="11"/>
        <v>01</v>
      </c>
      <c r="H150" s="3">
        <v>413</v>
      </c>
    </row>
    <row r="151" spans="1:8" ht="43.5" x14ac:dyDescent="0.25">
      <c r="A151" s="2" t="str">
        <f>"00015825"</f>
        <v>00015825</v>
      </c>
      <c r="B151" s="2" t="str">
        <f t="shared" si="10"/>
        <v>SG</v>
      </c>
      <c r="C151" s="4" t="s">
        <v>104</v>
      </c>
      <c r="D151" s="4" t="s">
        <v>101</v>
      </c>
      <c r="E151" s="4" t="s">
        <v>12</v>
      </c>
      <c r="F151" s="2" t="s">
        <v>0</v>
      </c>
      <c r="G151" s="2" t="str">
        <f>"03"</f>
        <v>03</v>
      </c>
      <c r="H151" s="3">
        <v>637</v>
      </c>
    </row>
    <row r="152" spans="1:8" ht="29.25" x14ac:dyDescent="0.25">
      <c r="A152" s="2" t="str">
        <f>"00015826"</f>
        <v>00015826</v>
      </c>
      <c r="B152" s="2" t="str">
        <f t="shared" si="10"/>
        <v>SG</v>
      </c>
      <c r="C152" s="4" t="s">
        <v>105</v>
      </c>
      <c r="D152" s="4" t="s">
        <v>101</v>
      </c>
      <c r="E152" s="4" t="s">
        <v>12</v>
      </c>
      <c r="F152" s="2" t="s">
        <v>0</v>
      </c>
      <c r="G152" s="2" t="str">
        <f>"03"</f>
        <v>03</v>
      </c>
      <c r="H152" s="3">
        <v>637</v>
      </c>
    </row>
    <row r="153" spans="1:8" ht="29.25" x14ac:dyDescent="0.25">
      <c r="A153" s="2" t="str">
        <f>"00015828"</f>
        <v>00015828</v>
      </c>
      <c r="B153" s="2" t="str">
        <f t="shared" si="10"/>
        <v>SG</v>
      </c>
      <c r="C153" s="4" t="s">
        <v>106</v>
      </c>
      <c r="D153" s="4" t="s">
        <v>101</v>
      </c>
      <c r="E153" s="4" t="s">
        <v>12</v>
      </c>
      <c r="F153" s="2" t="s">
        <v>0</v>
      </c>
      <c r="G153" s="2" t="str">
        <f>"03"</f>
        <v>03</v>
      </c>
      <c r="H153" s="3">
        <v>637</v>
      </c>
    </row>
    <row r="154" spans="1:8" ht="29.25" x14ac:dyDescent="0.25">
      <c r="A154" s="2" t="str">
        <f>"00015829"</f>
        <v>00015829</v>
      </c>
      <c r="B154" s="2" t="str">
        <f t="shared" si="10"/>
        <v>SG</v>
      </c>
      <c r="C154" s="4" t="s">
        <v>107</v>
      </c>
      <c r="D154" s="4" t="s">
        <v>101</v>
      </c>
      <c r="E154" s="4" t="s">
        <v>12</v>
      </c>
      <c r="F154" s="2" t="s">
        <v>0</v>
      </c>
      <c r="G154" s="2" t="str">
        <f>"03"</f>
        <v>03</v>
      </c>
      <c r="H154" s="3">
        <v>637</v>
      </c>
    </row>
    <row r="155" spans="1:8" x14ac:dyDescent="0.25">
      <c r="A155" s="2" t="str">
        <f>"00015830"</f>
        <v>00015830</v>
      </c>
      <c r="B155" s="2" t="str">
        <f t="shared" si="10"/>
        <v>SG</v>
      </c>
      <c r="C155" s="4" t="s">
        <v>108</v>
      </c>
      <c r="D155" s="4" t="s">
        <v>101</v>
      </c>
      <c r="E155" s="4" t="s">
        <v>12</v>
      </c>
      <c r="F155" s="2" t="s">
        <v>0</v>
      </c>
      <c r="G155" s="2" t="str">
        <f>"07"</f>
        <v>07</v>
      </c>
      <c r="H155" s="3">
        <v>1233</v>
      </c>
    </row>
    <row r="156" spans="1:8" ht="29.25" x14ac:dyDescent="0.25">
      <c r="A156" s="2" t="str">
        <f>"00015832"</f>
        <v>00015832</v>
      </c>
      <c r="B156" s="2" t="str">
        <f t="shared" si="10"/>
        <v>SG</v>
      </c>
      <c r="C156" s="4" t="s">
        <v>109</v>
      </c>
      <c r="D156" s="4" t="s">
        <v>101</v>
      </c>
      <c r="E156" s="4" t="s">
        <v>12</v>
      </c>
      <c r="F156" s="2" t="s">
        <v>0</v>
      </c>
      <c r="G156" s="2" t="str">
        <f>"02"</f>
        <v>02</v>
      </c>
      <c r="H156" s="3">
        <v>552</v>
      </c>
    </row>
    <row r="157" spans="1:8" ht="29.25" x14ac:dyDescent="0.25">
      <c r="A157" s="2" t="str">
        <f>"00015833"</f>
        <v>00015833</v>
      </c>
      <c r="B157" s="2" t="str">
        <f t="shared" si="10"/>
        <v>SG</v>
      </c>
      <c r="C157" s="4" t="s">
        <v>109</v>
      </c>
      <c r="D157" s="4" t="s">
        <v>101</v>
      </c>
      <c r="E157" s="4" t="s">
        <v>12</v>
      </c>
      <c r="F157" s="2" t="s">
        <v>0</v>
      </c>
      <c r="G157" s="2" t="str">
        <f>"02"</f>
        <v>02</v>
      </c>
      <c r="H157" s="3">
        <v>552</v>
      </c>
    </row>
    <row r="158" spans="1:8" ht="29.25" x14ac:dyDescent="0.25">
      <c r="A158" s="2" t="str">
        <f>"00015834"</f>
        <v>00015834</v>
      </c>
      <c r="B158" s="2" t="str">
        <f t="shared" si="10"/>
        <v>SG</v>
      </c>
      <c r="C158" s="4" t="s">
        <v>109</v>
      </c>
      <c r="D158" s="4" t="s">
        <v>101</v>
      </c>
      <c r="E158" s="4" t="s">
        <v>12</v>
      </c>
      <c r="F158" s="2" t="s">
        <v>0</v>
      </c>
      <c r="G158" s="2" t="str">
        <f>"02"</f>
        <v>02</v>
      </c>
      <c r="H158" s="3">
        <v>552</v>
      </c>
    </row>
    <row r="159" spans="1:8" ht="29.25" x14ac:dyDescent="0.25">
      <c r="A159" s="2" t="str">
        <f>"00015835"</f>
        <v>00015835</v>
      </c>
      <c r="B159" s="2" t="str">
        <f t="shared" si="10"/>
        <v>SG</v>
      </c>
      <c r="C159" s="4" t="s">
        <v>109</v>
      </c>
      <c r="D159" s="4" t="s">
        <v>101</v>
      </c>
      <c r="E159" s="4" t="s">
        <v>12</v>
      </c>
      <c r="F159" s="2" t="s">
        <v>0</v>
      </c>
      <c r="G159" s="2" t="str">
        <f>"02"</f>
        <v>02</v>
      </c>
      <c r="H159" s="3">
        <v>552</v>
      </c>
    </row>
    <row r="160" spans="1:8" ht="29.25" x14ac:dyDescent="0.25">
      <c r="A160" s="2" t="str">
        <f>"00015836"</f>
        <v>00015836</v>
      </c>
      <c r="B160" s="2" t="str">
        <f t="shared" si="10"/>
        <v>SG</v>
      </c>
      <c r="C160" s="4" t="s">
        <v>109</v>
      </c>
      <c r="D160" s="4" t="s">
        <v>101</v>
      </c>
      <c r="E160" s="4" t="s">
        <v>12</v>
      </c>
      <c r="F160" s="2" t="s">
        <v>0</v>
      </c>
      <c r="G160" s="2" t="str">
        <f>"01"</f>
        <v>01</v>
      </c>
      <c r="H160" s="3">
        <v>413</v>
      </c>
    </row>
    <row r="161" spans="1:8" ht="29.25" x14ac:dyDescent="0.25">
      <c r="A161" s="2" t="str">
        <f>"00015839"</f>
        <v>00015839</v>
      </c>
      <c r="B161" s="2" t="str">
        <f t="shared" si="10"/>
        <v>SG</v>
      </c>
      <c r="C161" s="4" t="s">
        <v>109</v>
      </c>
      <c r="D161" s="4" t="s">
        <v>101</v>
      </c>
      <c r="E161" s="4" t="s">
        <v>12</v>
      </c>
      <c r="F161" s="2" t="s">
        <v>0</v>
      </c>
      <c r="G161" s="2" t="str">
        <f>"01"</f>
        <v>01</v>
      </c>
      <c r="H161" s="3">
        <v>413</v>
      </c>
    </row>
    <row r="162" spans="1:8" ht="29.25" x14ac:dyDescent="0.25">
      <c r="A162" s="2" t="str">
        <f>"00015840"</f>
        <v>00015840</v>
      </c>
      <c r="B162" s="2" t="str">
        <f t="shared" si="10"/>
        <v>SG</v>
      </c>
      <c r="C162" s="4" t="s">
        <v>110</v>
      </c>
      <c r="D162" s="4" t="s">
        <v>0</v>
      </c>
      <c r="E162" s="4" t="s">
        <v>12</v>
      </c>
      <c r="F162" s="2" t="s">
        <v>0</v>
      </c>
      <c r="G162" s="2" t="str">
        <f>"03"</f>
        <v>03</v>
      </c>
      <c r="H162" s="3">
        <v>637</v>
      </c>
    </row>
    <row r="163" spans="1:8" ht="29.25" x14ac:dyDescent="0.25">
      <c r="A163" s="2" t="str">
        <f>"00015841"</f>
        <v>00015841</v>
      </c>
      <c r="B163" s="2" t="str">
        <f t="shared" si="10"/>
        <v>SG</v>
      </c>
      <c r="C163" s="4" t="s">
        <v>110</v>
      </c>
      <c r="D163" s="4" t="s">
        <v>0</v>
      </c>
      <c r="E163" s="4" t="s">
        <v>12</v>
      </c>
      <c r="F163" s="2" t="s">
        <v>0</v>
      </c>
      <c r="G163" s="2" t="str">
        <f>"03"</f>
        <v>03</v>
      </c>
      <c r="H163" s="3">
        <v>637</v>
      </c>
    </row>
    <row r="164" spans="1:8" ht="29.25" x14ac:dyDescent="0.25">
      <c r="A164" s="2" t="str">
        <f>"00015845"</f>
        <v>00015845</v>
      </c>
      <c r="B164" s="2" t="str">
        <f t="shared" si="10"/>
        <v>SG</v>
      </c>
      <c r="C164" s="4" t="s">
        <v>111</v>
      </c>
      <c r="D164" s="4" t="s">
        <v>0</v>
      </c>
      <c r="E164" s="4" t="s">
        <v>12</v>
      </c>
      <c r="F164" s="2" t="s">
        <v>0</v>
      </c>
      <c r="G164" s="2" t="str">
        <f>"03"</f>
        <v>03</v>
      </c>
      <c r="H164" s="3">
        <v>637</v>
      </c>
    </row>
    <row r="165" spans="1:8" x14ac:dyDescent="0.25">
      <c r="A165" s="2" t="str">
        <f>"00015847"</f>
        <v>00015847</v>
      </c>
      <c r="B165" s="2" t="str">
        <f t="shared" si="10"/>
        <v>SG</v>
      </c>
      <c r="C165" s="4" t="s">
        <v>112</v>
      </c>
      <c r="D165" s="4" t="s">
        <v>101</v>
      </c>
      <c r="E165" s="4" t="s">
        <v>12</v>
      </c>
      <c r="F165" s="2" t="s">
        <v>0</v>
      </c>
      <c r="G165" s="2" t="str">
        <f>"01"</f>
        <v>01</v>
      </c>
      <c r="H165" s="3">
        <v>413</v>
      </c>
    </row>
    <row r="166" spans="1:8" ht="29.25" x14ac:dyDescent="0.25">
      <c r="A166" s="2" t="str">
        <f>"00015876"</f>
        <v>00015876</v>
      </c>
      <c r="B166" s="2" t="str">
        <f t="shared" si="10"/>
        <v>SG</v>
      </c>
      <c r="C166" s="4" t="s">
        <v>113</v>
      </c>
      <c r="D166" s="4" t="s">
        <v>101</v>
      </c>
      <c r="E166" s="4" t="s">
        <v>12</v>
      </c>
      <c r="F166" s="2" t="s">
        <v>0</v>
      </c>
      <c r="G166" s="2" t="str">
        <f>"03"</f>
        <v>03</v>
      </c>
      <c r="H166" s="3">
        <v>637</v>
      </c>
    </row>
    <row r="167" spans="1:8" ht="29.25" x14ac:dyDescent="0.25">
      <c r="A167" s="2" t="str">
        <f>"00015877"</f>
        <v>00015877</v>
      </c>
      <c r="B167" s="2" t="str">
        <f t="shared" si="10"/>
        <v>SG</v>
      </c>
      <c r="C167" s="4" t="s">
        <v>113</v>
      </c>
      <c r="D167" s="4" t="s">
        <v>101</v>
      </c>
      <c r="E167" s="4" t="s">
        <v>12</v>
      </c>
      <c r="F167" s="2" t="s">
        <v>0</v>
      </c>
      <c r="G167" s="2" t="str">
        <f>"03"</f>
        <v>03</v>
      </c>
      <c r="H167" s="3">
        <v>637</v>
      </c>
    </row>
    <row r="168" spans="1:8" ht="29.25" x14ac:dyDescent="0.25">
      <c r="A168" s="2" t="str">
        <f>"00015878"</f>
        <v>00015878</v>
      </c>
      <c r="B168" s="2" t="str">
        <f t="shared" si="10"/>
        <v>SG</v>
      </c>
      <c r="C168" s="4" t="s">
        <v>113</v>
      </c>
      <c r="D168" s="4" t="s">
        <v>101</v>
      </c>
      <c r="E168" s="4" t="s">
        <v>12</v>
      </c>
      <c r="F168" s="2" t="s">
        <v>0</v>
      </c>
      <c r="G168" s="2" t="str">
        <f>"03"</f>
        <v>03</v>
      </c>
      <c r="H168" s="3">
        <v>637</v>
      </c>
    </row>
    <row r="169" spans="1:8" ht="29.25" x14ac:dyDescent="0.25">
      <c r="A169" s="2" t="str">
        <f>"00015879"</f>
        <v>00015879</v>
      </c>
      <c r="B169" s="2" t="str">
        <f t="shared" si="10"/>
        <v>SG</v>
      </c>
      <c r="C169" s="4" t="s">
        <v>113</v>
      </c>
      <c r="D169" s="4" t="s">
        <v>101</v>
      </c>
      <c r="E169" s="4" t="s">
        <v>12</v>
      </c>
      <c r="F169" s="2" t="s">
        <v>0</v>
      </c>
      <c r="G169" s="2" t="str">
        <f>"03"</f>
        <v>03</v>
      </c>
      <c r="H169" s="3">
        <v>637</v>
      </c>
    </row>
    <row r="170" spans="1:8" ht="29.25" x14ac:dyDescent="0.25">
      <c r="A170" s="2" t="str">
        <f>"00015920"</f>
        <v>00015920</v>
      </c>
      <c r="B170" s="2" t="str">
        <f t="shared" si="10"/>
        <v>SG</v>
      </c>
      <c r="C170" s="4" t="s">
        <v>114</v>
      </c>
      <c r="D170" s="4" t="s">
        <v>0</v>
      </c>
      <c r="E170" s="4" t="s">
        <v>12</v>
      </c>
      <c r="F170" s="2" t="s">
        <v>0</v>
      </c>
      <c r="G170" s="2" t="str">
        <f>"01"</f>
        <v>01</v>
      </c>
      <c r="H170" s="3">
        <v>413</v>
      </c>
    </row>
    <row r="171" spans="1:8" ht="29.25" x14ac:dyDescent="0.25">
      <c r="A171" s="2" t="str">
        <f>"00015922"</f>
        <v>00015922</v>
      </c>
      <c r="B171" s="2" t="str">
        <f t="shared" si="10"/>
        <v>SG</v>
      </c>
      <c r="C171" s="4" t="s">
        <v>114</v>
      </c>
      <c r="D171" s="4" t="s">
        <v>0</v>
      </c>
      <c r="E171" s="4" t="s">
        <v>12</v>
      </c>
      <c r="F171" s="2" t="s">
        <v>0</v>
      </c>
      <c r="G171" s="2" t="str">
        <f>"01"</f>
        <v>01</v>
      </c>
      <c r="H171" s="3">
        <v>413</v>
      </c>
    </row>
    <row r="172" spans="1:8" ht="29.25" x14ac:dyDescent="0.25">
      <c r="A172" s="2" t="str">
        <f>"00015931"</f>
        <v>00015931</v>
      </c>
      <c r="B172" s="2" t="str">
        <f t="shared" si="10"/>
        <v>SG</v>
      </c>
      <c r="C172" s="4" t="s">
        <v>115</v>
      </c>
      <c r="D172" s="4" t="s">
        <v>0</v>
      </c>
      <c r="E172" s="4" t="s">
        <v>12</v>
      </c>
      <c r="F172" s="2" t="s">
        <v>0</v>
      </c>
      <c r="G172" s="2" t="str">
        <f>"02"</f>
        <v>02</v>
      </c>
      <c r="H172" s="3">
        <v>552</v>
      </c>
    </row>
    <row r="173" spans="1:8" ht="29.25" x14ac:dyDescent="0.25">
      <c r="A173" s="2" t="str">
        <f>"00015933"</f>
        <v>00015933</v>
      </c>
      <c r="B173" s="2" t="str">
        <f t="shared" si="10"/>
        <v>SG</v>
      </c>
      <c r="C173" s="4" t="s">
        <v>115</v>
      </c>
      <c r="D173" s="4" t="s">
        <v>0</v>
      </c>
      <c r="E173" s="4" t="s">
        <v>12</v>
      </c>
      <c r="F173" s="2" t="s">
        <v>0</v>
      </c>
      <c r="G173" s="2" t="str">
        <f>"02"</f>
        <v>02</v>
      </c>
      <c r="H173" s="3">
        <v>552</v>
      </c>
    </row>
    <row r="174" spans="1:8" ht="29.25" x14ac:dyDescent="0.25">
      <c r="A174" s="2" t="str">
        <f>"00015934"</f>
        <v>00015934</v>
      </c>
      <c r="B174" s="2" t="str">
        <f t="shared" si="10"/>
        <v>SG</v>
      </c>
      <c r="C174" s="4" t="s">
        <v>115</v>
      </c>
      <c r="D174" s="4" t="s">
        <v>0</v>
      </c>
      <c r="E174" s="4" t="s">
        <v>12</v>
      </c>
      <c r="F174" s="2" t="s">
        <v>0</v>
      </c>
      <c r="G174" s="2" t="str">
        <f>"03"</f>
        <v>03</v>
      </c>
      <c r="H174" s="3">
        <v>637</v>
      </c>
    </row>
    <row r="175" spans="1:8" ht="29.25" x14ac:dyDescent="0.25">
      <c r="A175" s="2" t="str">
        <f>"00015935"</f>
        <v>00015935</v>
      </c>
      <c r="B175" s="2" t="str">
        <f t="shared" si="10"/>
        <v>SG</v>
      </c>
      <c r="C175" s="4" t="s">
        <v>115</v>
      </c>
      <c r="D175" s="4" t="s">
        <v>0</v>
      </c>
      <c r="E175" s="4" t="s">
        <v>12</v>
      </c>
      <c r="F175" s="2" t="s">
        <v>0</v>
      </c>
      <c r="G175" s="2" t="str">
        <f>"03"</f>
        <v>03</v>
      </c>
      <c r="H175" s="3">
        <v>637</v>
      </c>
    </row>
    <row r="176" spans="1:8" ht="29.25" x14ac:dyDescent="0.25">
      <c r="A176" s="2" t="str">
        <f>"00015936"</f>
        <v>00015936</v>
      </c>
      <c r="B176" s="2" t="str">
        <f t="shared" si="10"/>
        <v>SG</v>
      </c>
      <c r="C176" s="4" t="s">
        <v>115</v>
      </c>
      <c r="D176" s="4" t="s">
        <v>0</v>
      </c>
      <c r="E176" s="4" t="s">
        <v>12</v>
      </c>
      <c r="F176" s="2" t="s">
        <v>0</v>
      </c>
      <c r="G176" s="2" t="str">
        <f>"01"</f>
        <v>01</v>
      </c>
      <c r="H176" s="3">
        <v>413</v>
      </c>
    </row>
    <row r="177" spans="1:8" ht="29.25" x14ac:dyDescent="0.25">
      <c r="A177" s="2" t="str">
        <f>"00015937"</f>
        <v>00015937</v>
      </c>
      <c r="B177" s="2" t="str">
        <f t="shared" si="10"/>
        <v>SG</v>
      </c>
      <c r="C177" s="4" t="s">
        <v>115</v>
      </c>
      <c r="D177" s="4" t="s">
        <v>0</v>
      </c>
      <c r="E177" s="4" t="s">
        <v>12</v>
      </c>
      <c r="F177" s="2" t="s">
        <v>0</v>
      </c>
      <c r="G177" s="2" t="str">
        <f>"01"</f>
        <v>01</v>
      </c>
      <c r="H177" s="3">
        <v>413</v>
      </c>
    </row>
    <row r="178" spans="1:8" ht="29.25" x14ac:dyDescent="0.25">
      <c r="A178" s="2" t="str">
        <f>"00015940"</f>
        <v>00015940</v>
      </c>
      <c r="B178" s="2" t="str">
        <f t="shared" si="10"/>
        <v>SG</v>
      </c>
      <c r="C178" s="4" t="s">
        <v>116</v>
      </c>
      <c r="D178" s="4" t="s">
        <v>0</v>
      </c>
      <c r="E178" s="4" t="s">
        <v>12</v>
      </c>
      <c r="F178" s="2" t="s">
        <v>0</v>
      </c>
      <c r="G178" s="2" t="str">
        <f>"02"</f>
        <v>02</v>
      </c>
      <c r="H178" s="3">
        <v>552</v>
      </c>
    </row>
    <row r="179" spans="1:8" ht="29.25" x14ac:dyDescent="0.25">
      <c r="A179" s="2" t="str">
        <f>"00015941"</f>
        <v>00015941</v>
      </c>
      <c r="B179" s="2" t="str">
        <f t="shared" si="10"/>
        <v>SG</v>
      </c>
      <c r="C179" s="4" t="s">
        <v>116</v>
      </c>
      <c r="D179" s="4" t="s">
        <v>0</v>
      </c>
      <c r="E179" s="4" t="s">
        <v>12</v>
      </c>
      <c r="F179" s="2" t="s">
        <v>0</v>
      </c>
      <c r="G179" s="2" t="str">
        <f>"02"</f>
        <v>02</v>
      </c>
      <c r="H179" s="3">
        <v>552</v>
      </c>
    </row>
    <row r="180" spans="1:8" ht="29.25" x14ac:dyDescent="0.25">
      <c r="A180" s="2" t="str">
        <f>"00015944"</f>
        <v>00015944</v>
      </c>
      <c r="B180" s="2" t="str">
        <f t="shared" si="10"/>
        <v>SG</v>
      </c>
      <c r="C180" s="4" t="s">
        <v>116</v>
      </c>
      <c r="D180" s="4" t="s">
        <v>0</v>
      </c>
      <c r="E180" s="4" t="s">
        <v>12</v>
      </c>
      <c r="F180" s="2" t="s">
        <v>0</v>
      </c>
      <c r="G180" s="2" t="str">
        <f>"01"</f>
        <v>01</v>
      </c>
      <c r="H180" s="3">
        <v>413</v>
      </c>
    </row>
    <row r="181" spans="1:8" ht="29.25" x14ac:dyDescent="0.25">
      <c r="A181" s="2" t="str">
        <f>"00015945"</f>
        <v>00015945</v>
      </c>
      <c r="B181" s="2" t="str">
        <f t="shared" si="10"/>
        <v>SG</v>
      </c>
      <c r="C181" s="4" t="s">
        <v>116</v>
      </c>
      <c r="D181" s="4" t="s">
        <v>0</v>
      </c>
      <c r="E181" s="4" t="s">
        <v>12</v>
      </c>
      <c r="F181" s="2" t="s">
        <v>0</v>
      </c>
      <c r="G181" s="2" t="str">
        <f>"01"</f>
        <v>01</v>
      </c>
      <c r="H181" s="3">
        <v>413</v>
      </c>
    </row>
    <row r="182" spans="1:8" ht="29.25" x14ac:dyDescent="0.25">
      <c r="A182" s="2" t="str">
        <f>"00015946"</f>
        <v>00015946</v>
      </c>
      <c r="B182" s="2" t="str">
        <f t="shared" si="10"/>
        <v>SG</v>
      </c>
      <c r="C182" s="4" t="s">
        <v>116</v>
      </c>
      <c r="D182" s="4" t="s">
        <v>0</v>
      </c>
      <c r="E182" s="4" t="s">
        <v>12</v>
      </c>
      <c r="F182" s="2" t="s">
        <v>0</v>
      </c>
      <c r="G182" s="2" t="str">
        <f>"02"</f>
        <v>02</v>
      </c>
      <c r="H182" s="3">
        <v>552</v>
      </c>
    </row>
    <row r="183" spans="1:8" ht="29.25" x14ac:dyDescent="0.25">
      <c r="A183" s="2" t="str">
        <f>"00015950"</f>
        <v>00015950</v>
      </c>
      <c r="B183" s="2" t="str">
        <f t="shared" si="10"/>
        <v>SG</v>
      </c>
      <c r="C183" s="4" t="s">
        <v>117</v>
      </c>
      <c r="D183" s="4" t="s">
        <v>0</v>
      </c>
      <c r="E183" s="4" t="s">
        <v>12</v>
      </c>
      <c r="F183" s="2" t="s">
        <v>0</v>
      </c>
      <c r="G183" s="2" t="str">
        <f>"02"</f>
        <v>02</v>
      </c>
      <c r="H183" s="3">
        <v>552</v>
      </c>
    </row>
    <row r="184" spans="1:8" ht="29.25" x14ac:dyDescent="0.25">
      <c r="A184" s="2" t="str">
        <f>"00015951"</f>
        <v>00015951</v>
      </c>
      <c r="B184" s="2" t="str">
        <f t="shared" si="10"/>
        <v>SG</v>
      </c>
      <c r="C184" s="4" t="s">
        <v>117</v>
      </c>
      <c r="D184" s="4" t="s">
        <v>0</v>
      </c>
      <c r="E184" s="4" t="s">
        <v>12</v>
      </c>
      <c r="F184" s="2" t="s">
        <v>0</v>
      </c>
      <c r="G184" s="2" t="str">
        <f>"02"</f>
        <v>02</v>
      </c>
      <c r="H184" s="3">
        <v>552</v>
      </c>
    </row>
    <row r="185" spans="1:8" ht="29.25" x14ac:dyDescent="0.25">
      <c r="A185" s="2" t="str">
        <f>"00015952"</f>
        <v>00015952</v>
      </c>
      <c r="B185" s="2" t="str">
        <f t="shared" si="10"/>
        <v>SG</v>
      </c>
      <c r="C185" s="4" t="s">
        <v>117</v>
      </c>
      <c r="D185" s="4" t="s">
        <v>0</v>
      </c>
      <c r="E185" s="4" t="s">
        <v>12</v>
      </c>
      <c r="F185" s="2" t="s">
        <v>0</v>
      </c>
      <c r="G185" s="2" t="str">
        <f>"03"</f>
        <v>03</v>
      </c>
      <c r="H185" s="3">
        <v>637</v>
      </c>
    </row>
    <row r="186" spans="1:8" ht="29.25" x14ac:dyDescent="0.25">
      <c r="A186" s="2" t="str">
        <f>"00015953"</f>
        <v>00015953</v>
      </c>
      <c r="B186" s="2" t="str">
        <f t="shared" si="10"/>
        <v>SG</v>
      </c>
      <c r="C186" s="4" t="s">
        <v>117</v>
      </c>
      <c r="D186" s="4" t="s">
        <v>0</v>
      </c>
      <c r="E186" s="4" t="s">
        <v>12</v>
      </c>
      <c r="F186" s="2" t="s">
        <v>0</v>
      </c>
      <c r="G186" s="2" t="str">
        <f>"03"</f>
        <v>03</v>
      </c>
      <c r="H186" s="3">
        <v>637</v>
      </c>
    </row>
    <row r="187" spans="1:8" ht="29.25" x14ac:dyDescent="0.25">
      <c r="A187" s="2" t="str">
        <f>"00015956"</f>
        <v>00015956</v>
      </c>
      <c r="B187" s="2" t="str">
        <f t="shared" si="10"/>
        <v>SG</v>
      </c>
      <c r="C187" s="4" t="s">
        <v>117</v>
      </c>
      <c r="D187" s="4" t="s">
        <v>0</v>
      </c>
      <c r="E187" s="4" t="s">
        <v>12</v>
      </c>
      <c r="F187" s="2" t="s">
        <v>0</v>
      </c>
      <c r="G187" s="2" t="str">
        <f>"01"</f>
        <v>01</v>
      </c>
      <c r="H187" s="3">
        <v>413</v>
      </c>
    </row>
    <row r="188" spans="1:8" ht="29.25" x14ac:dyDescent="0.25">
      <c r="A188" s="2" t="str">
        <f>"00015958"</f>
        <v>00015958</v>
      </c>
      <c r="B188" s="2" t="str">
        <f t="shared" si="10"/>
        <v>SG</v>
      </c>
      <c r="C188" s="4" t="s">
        <v>117</v>
      </c>
      <c r="D188" s="4" t="s">
        <v>0</v>
      </c>
      <c r="E188" s="4" t="s">
        <v>12</v>
      </c>
      <c r="F188" s="2" t="s">
        <v>0</v>
      </c>
      <c r="G188" s="2" t="str">
        <f>"03"</f>
        <v>03</v>
      </c>
      <c r="H188" s="3">
        <v>637</v>
      </c>
    </row>
    <row r="189" spans="1:8" ht="29.25" x14ac:dyDescent="0.25">
      <c r="A189" s="2" t="str">
        <f>"00016025"</f>
        <v>00016025</v>
      </c>
      <c r="B189" s="2" t="str">
        <f t="shared" si="10"/>
        <v>SG</v>
      </c>
      <c r="C189" s="4" t="s">
        <v>118</v>
      </c>
      <c r="D189" s="4" t="s">
        <v>0</v>
      </c>
      <c r="E189" s="4" t="s">
        <v>12</v>
      </c>
      <c r="F189" s="2" t="s">
        <v>0</v>
      </c>
      <c r="G189" s="2" t="str">
        <f>"01"</f>
        <v>01</v>
      </c>
      <c r="H189" s="3">
        <v>413</v>
      </c>
    </row>
    <row r="190" spans="1:8" ht="29.25" x14ac:dyDescent="0.25">
      <c r="A190" s="2" t="str">
        <f>"00016030"</f>
        <v>00016030</v>
      </c>
      <c r="B190" s="2" t="str">
        <f t="shared" si="10"/>
        <v>SG</v>
      </c>
      <c r="C190" s="4" t="s">
        <v>119</v>
      </c>
      <c r="D190" s="4" t="s">
        <v>0</v>
      </c>
      <c r="E190" s="4" t="s">
        <v>12</v>
      </c>
      <c r="F190" s="2" t="s">
        <v>0</v>
      </c>
      <c r="G190" s="2" t="str">
        <f>"01"</f>
        <v>01</v>
      </c>
      <c r="H190" s="3">
        <v>413</v>
      </c>
    </row>
    <row r="191" spans="1:8" ht="29.25" x14ac:dyDescent="0.25">
      <c r="A191" s="2" t="str">
        <f>"00019020"</f>
        <v>00019020</v>
      </c>
      <c r="B191" s="2" t="str">
        <f t="shared" si="10"/>
        <v>SG</v>
      </c>
      <c r="C191" s="4" t="s">
        <v>120</v>
      </c>
      <c r="D191" s="4" t="s">
        <v>0</v>
      </c>
      <c r="E191" s="4" t="s">
        <v>12</v>
      </c>
      <c r="F191" s="2" t="s">
        <v>0</v>
      </c>
      <c r="G191" s="2" t="str">
        <f>"02"</f>
        <v>02</v>
      </c>
      <c r="H191" s="3">
        <v>552</v>
      </c>
    </row>
    <row r="192" spans="1:8" ht="57.75" x14ac:dyDescent="0.25">
      <c r="A192" s="2" t="str">
        <f>"00019083"</f>
        <v>00019083</v>
      </c>
      <c r="B192" s="2" t="str">
        <f t="shared" si="10"/>
        <v>SG</v>
      </c>
      <c r="C192" s="4" t="s">
        <v>121</v>
      </c>
      <c r="D192" s="4" t="s">
        <v>0</v>
      </c>
      <c r="E192" s="4" t="s">
        <v>12</v>
      </c>
      <c r="F192" s="2" t="s">
        <v>0</v>
      </c>
      <c r="G192" s="2" t="str">
        <f>"01"</f>
        <v>01</v>
      </c>
      <c r="H192" s="3">
        <v>413</v>
      </c>
    </row>
    <row r="193" spans="1:8" ht="29.25" x14ac:dyDescent="0.25">
      <c r="A193" s="2" t="str">
        <f>"00019100"</f>
        <v>00019100</v>
      </c>
      <c r="B193" s="2" t="str">
        <f t="shared" si="10"/>
        <v>SG</v>
      </c>
      <c r="C193" s="4" t="s">
        <v>122</v>
      </c>
      <c r="D193" s="4" t="s">
        <v>0</v>
      </c>
      <c r="E193" s="4" t="s">
        <v>12</v>
      </c>
      <c r="F193" s="2" t="s">
        <v>0</v>
      </c>
      <c r="G193" s="2" t="str">
        <f>"01"</f>
        <v>01</v>
      </c>
      <c r="H193" s="3">
        <v>413</v>
      </c>
    </row>
    <row r="194" spans="1:8" x14ac:dyDescent="0.25">
      <c r="A194" s="2" t="str">
        <f>"00019101"</f>
        <v>00019101</v>
      </c>
      <c r="B194" s="2" t="str">
        <f t="shared" si="10"/>
        <v>SG</v>
      </c>
      <c r="C194" s="4" t="s">
        <v>123</v>
      </c>
      <c r="D194" s="4" t="s">
        <v>0</v>
      </c>
      <c r="E194" s="4" t="s">
        <v>12</v>
      </c>
      <c r="F194" s="2" t="s">
        <v>0</v>
      </c>
      <c r="G194" s="2" t="str">
        <f>"03"</f>
        <v>03</v>
      </c>
      <c r="H194" s="3">
        <v>637</v>
      </c>
    </row>
    <row r="195" spans="1:8" x14ac:dyDescent="0.25">
      <c r="A195" s="2" t="str">
        <f>"00019110"</f>
        <v>00019110</v>
      </c>
      <c r="B195" s="2" t="str">
        <f t="shared" si="10"/>
        <v>SG</v>
      </c>
      <c r="C195" s="4" t="s">
        <v>124</v>
      </c>
      <c r="D195" s="4" t="s">
        <v>0</v>
      </c>
      <c r="E195" s="4" t="s">
        <v>12</v>
      </c>
      <c r="F195" s="2" t="s">
        <v>0</v>
      </c>
      <c r="G195" s="2" t="str">
        <f>"03"</f>
        <v>03</v>
      </c>
      <c r="H195" s="3">
        <v>637</v>
      </c>
    </row>
    <row r="196" spans="1:8" ht="29.25" x14ac:dyDescent="0.25">
      <c r="A196" s="2" t="str">
        <f>"00019112"</f>
        <v>00019112</v>
      </c>
      <c r="B196" s="2" t="str">
        <f t="shared" si="10"/>
        <v>SG</v>
      </c>
      <c r="C196" s="4" t="s">
        <v>125</v>
      </c>
      <c r="D196" s="4" t="s">
        <v>0</v>
      </c>
      <c r="E196" s="4" t="s">
        <v>12</v>
      </c>
      <c r="F196" s="2" t="s">
        <v>0</v>
      </c>
      <c r="G196" s="2" t="str">
        <f>"03"</f>
        <v>03</v>
      </c>
      <c r="H196" s="3">
        <v>637</v>
      </c>
    </row>
    <row r="197" spans="1:8" ht="29.25" x14ac:dyDescent="0.25">
      <c r="A197" s="2" t="str">
        <f>"00019120"</f>
        <v>00019120</v>
      </c>
      <c r="B197" s="2" t="str">
        <f t="shared" si="10"/>
        <v>SG</v>
      </c>
      <c r="C197" s="4" t="s">
        <v>126</v>
      </c>
      <c r="D197" s="4" t="s">
        <v>0</v>
      </c>
      <c r="E197" s="4" t="s">
        <v>12</v>
      </c>
      <c r="F197" s="2" t="s">
        <v>0</v>
      </c>
      <c r="G197" s="2" t="str">
        <f>"03"</f>
        <v>03</v>
      </c>
      <c r="H197" s="3">
        <v>637</v>
      </c>
    </row>
    <row r="198" spans="1:8" x14ac:dyDescent="0.25">
      <c r="A198" s="2" t="str">
        <f>"00019125"</f>
        <v>00019125</v>
      </c>
      <c r="B198" s="2" t="str">
        <f t="shared" si="10"/>
        <v>SG</v>
      </c>
      <c r="C198" s="4" t="s">
        <v>127</v>
      </c>
      <c r="D198" s="4" t="s">
        <v>0</v>
      </c>
      <c r="E198" s="4" t="s">
        <v>12</v>
      </c>
      <c r="F198" s="2" t="s">
        <v>0</v>
      </c>
      <c r="G198" s="2" t="str">
        <f>"03"</f>
        <v>03</v>
      </c>
      <c r="H198" s="3">
        <v>637</v>
      </c>
    </row>
    <row r="199" spans="1:8" ht="29.25" x14ac:dyDescent="0.25">
      <c r="A199" s="2" t="str">
        <f>"00019126"</f>
        <v>00019126</v>
      </c>
      <c r="B199" s="2" t="str">
        <f t="shared" si="10"/>
        <v>SG</v>
      </c>
      <c r="C199" s="4" t="s">
        <v>128</v>
      </c>
      <c r="D199" s="4" t="s">
        <v>0</v>
      </c>
      <c r="E199" s="4" t="s">
        <v>12</v>
      </c>
      <c r="F199" s="2" t="s">
        <v>0</v>
      </c>
      <c r="G199" s="2" t="str">
        <f>"01"</f>
        <v>01</v>
      </c>
      <c r="H199" s="3">
        <v>413</v>
      </c>
    </row>
    <row r="200" spans="1:8" ht="29.25" x14ac:dyDescent="0.25">
      <c r="A200" s="2" t="str">
        <f>"00019296"</f>
        <v>00019296</v>
      </c>
      <c r="B200" s="2" t="str">
        <f t="shared" si="10"/>
        <v>SG</v>
      </c>
      <c r="C200" s="4" t="s">
        <v>129</v>
      </c>
      <c r="D200" s="4" t="s">
        <v>0</v>
      </c>
      <c r="E200" s="4" t="s">
        <v>12</v>
      </c>
      <c r="F200" s="2" t="s">
        <v>0</v>
      </c>
      <c r="G200" s="2" t="str">
        <f>"09"</f>
        <v>09</v>
      </c>
      <c r="H200" s="3">
        <v>1662</v>
      </c>
    </row>
    <row r="201" spans="1:8" ht="29.25" x14ac:dyDescent="0.25">
      <c r="A201" s="2" t="str">
        <f>"00019297"</f>
        <v>00019297</v>
      </c>
      <c r="B201" s="2" t="str">
        <f t="shared" si="10"/>
        <v>SG</v>
      </c>
      <c r="C201" s="4" t="s">
        <v>130</v>
      </c>
      <c r="D201" s="4" t="s">
        <v>0</v>
      </c>
      <c r="E201" s="4" t="s">
        <v>12</v>
      </c>
      <c r="F201" s="2" t="s">
        <v>0</v>
      </c>
      <c r="G201" s="2" t="str">
        <f>"09"</f>
        <v>09</v>
      </c>
      <c r="H201" s="3">
        <v>1662</v>
      </c>
    </row>
    <row r="202" spans="1:8" ht="29.25" x14ac:dyDescent="0.25">
      <c r="A202" s="2" t="str">
        <f>"00019298"</f>
        <v>00019298</v>
      </c>
      <c r="B202" s="2" t="str">
        <f t="shared" si="10"/>
        <v>SG</v>
      </c>
      <c r="C202" s="4" t="s">
        <v>131</v>
      </c>
      <c r="D202" s="4" t="s">
        <v>0</v>
      </c>
      <c r="E202" s="4" t="s">
        <v>12</v>
      </c>
      <c r="F202" s="2" t="s">
        <v>0</v>
      </c>
      <c r="G202" s="2" t="str">
        <f>"09"</f>
        <v>09</v>
      </c>
      <c r="H202" s="3">
        <v>1662</v>
      </c>
    </row>
    <row r="203" spans="1:8" ht="29.25" x14ac:dyDescent="0.25">
      <c r="A203" s="2" t="str">
        <f>"00019300"</f>
        <v>00019300</v>
      </c>
      <c r="B203" s="2" t="str">
        <f t="shared" si="10"/>
        <v>SG</v>
      </c>
      <c r="C203" s="4" t="s">
        <v>132</v>
      </c>
      <c r="D203" s="4" t="s">
        <v>0</v>
      </c>
      <c r="E203" s="4" t="s">
        <v>12</v>
      </c>
      <c r="F203" s="2" t="s">
        <v>0</v>
      </c>
      <c r="G203" s="2" t="str">
        <f>"02"</f>
        <v>02</v>
      </c>
      <c r="H203" s="3">
        <v>552</v>
      </c>
    </row>
    <row r="204" spans="1:8" x14ac:dyDescent="0.25">
      <c r="A204" s="2" t="str">
        <f>"00019301"</f>
        <v>00019301</v>
      </c>
      <c r="B204" s="2" t="str">
        <f t="shared" si="10"/>
        <v>SG</v>
      </c>
      <c r="C204" s="4" t="s">
        <v>133</v>
      </c>
      <c r="D204" s="4" t="s">
        <v>0</v>
      </c>
      <c r="E204" s="4" t="s">
        <v>12</v>
      </c>
      <c r="F204" s="2" t="s">
        <v>0</v>
      </c>
      <c r="G204" s="2" t="str">
        <f>"03"</f>
        <v>03</v>
      </c>
      <c r="H204" s="3">
        <v>637</v>
      </c>
    </row>
    <row r="205" spans="1:8" ht="29.25" x14ac:dyDescent="0.25">
      <c r="A205" s="2" t="str">
        <f>"00019302"</f>
        <v>00019302</v>
      </c>
      <c r="B205" s="2" t="str">
        <f t="shared" ref="B205:B268" si="12">"SG"</f>
        <v>SG</v>
      </c>
      <c r="C205" s="4" t="s">
        <v>134</v>
      </c>
      <c r="D205" s="4" t="s">
        <v>0</v>
      </c>
      <c r="E205" s="4" t="s">
        <v>12</v>
      </c>
      <c r="F205" s="2" t="s">
        <v>0</v>
      </c>
      <c r="G205" s="2" t="str">
        <f>"08"</f>
        <v>08</v>
      </c>
      <c r="H205" s="3">
        <v>1183</v>
      </c>
    </row>
    <row r="206" spans="1:8" x14ac:dyDescent="0.25">
      <c r="A206" s="2" t="str">
        <f>"00019303"</f>
        <v>00019303</v>
      </c>
      <c r="B206" s="2" t="str">
        <f t="shared" si="12"/>
        <v>SG</v>
      </c>
      <c r="C206" s="4" t="s">
        <v>135</v>
      </c>
      <c r="D206" s="4" t="s">
        <v>0</v>
      </c>
      <c r="E206" s="4" t="s">
        <v>12</v>
      </c>
      <c r="F206" s="2" t="s">
        <v>0</v>
      </c>
      <c r="G206" s="2" t="str">
        <f>"06"</f>
        <v>06</v>
      </c>
      <c r="H206" s="3">
        <v>1000</v>
      </c>
    </row>
    <row r="207" spans="1:8" x14ac:dyDescent="0.25">
      <c r="A207" s="2" t="str">
        <f>"00019316"</f>
        <v>00019316</v>
      </c>
      <c r="B207" s="2" t="str">
        <f t="shared" si="12"/>
        <v>SG</v>
      </c>
      <c r="C207" s="4" t="s">
        <v>136</v>
      </c>
      <c r="D207" s="4" t="s">
        <v>101</v>
      </c>
      <c r="E207" s="4" t="s">
        <v>12</v>
      </c>
      <c r="F207" s="2" t="s">
        <v>0</v>
      </c>
      <c r="G207" s="2" t="str">
        <f>"06"</f>
        <v>06</v>
      </c>
      <c r="H207" s="3">
        <v>1000</v>
      </c>
    </row>
    <row r="208" spans="1:8" ht="29.25" x14ac:dyDescent="0.25">
      <c r="A208" s="2" t="str">
        <f>"00019318"</f>
        <v>00019318</v>
      </c>
      <c r="B208" s="2" t="str">
        <f t="shared" si="12"/>
        <v>SG</v>
      </c>
      <c r="C208" s="4" t="s">
        <v>137</v>
      </c>
      <c r="D208" s="4" t="s">
        <v>101</v>
      </c>
      <c r="E208" s="4" t="s">
        <v>138</v>
      </c>
      <c r="F208" s="2" t="s">
        <v>0</v>
      </c>
      <c r="G208" s="2" t="str">
        <f>"08"</f>
        <v>08</v>
      </c>
      <c r="H208" s="3">
        <v>1183</v>
      </c>
    </row>
    <row r="209" spans="1:8" ht="29.25" x14ac:dyDescent="0.25">
      <c r="A209" s="2" t="str">
        <f>"00019325"</f>
        <v>00019325</v>
      </c>
      <c r="B209" s="2" t="str">
        <f t="shared" si="12"/>
        <v>SG</v>
      </c>
      <c r="C209" s="4" t="s">
        <v>139</v>
      </c>
      <c r="D209" s="4" t="s">
        <v>101</v>
      </c>
      <c r="E209" s="4" t="s">
        <v>12</v>
      </c>
      <c r="F209" s="2" t="s">
        <v>0</v>
      </c>
      <c r="G209" s="2" t="str">
        <f>"09"</f>
        <v>09</v>
      </c>
      <c r="H209" s="3">
        <v>1662</v>
      </c>
    </row>
    <row r="210" spans="1:8" ht="29.25" x14ac:dyDescent="0.25">
      <c r="A210" s="2" t="str">
        <f>"00019328"</f>
        <v>00019328</v>
      </c>
      <c r="B210" s="2" t="str">
        <f t="shared" si="12"/>
        <v>SG</v>
      </c>
      <c r="C210" s="4" t="s">
        <v>140</v>
      </c>
      <c r="D210" s="4" t="s">
        <v>0</v>
      </c>
      <c r="E210" s="4" t="s">
        <v>12</v>
      </c>
      <c r="F210" s="2" t="s">
        <v>0</v>
      </c>
      <c r="G210" s="2" t="str">
        <f>"06"</f>
        <v>06</v>
      </c>
      <c r="H210" s="3">
        <v>1000</v>
      </c>
    </row>
    <row r="211" spans="1:8" ht="29.25" x14ac:dyDescent="0.25">
      <c r="A211" s="2" t="str">
        <f>"00019330"</f>
        <v>00019330</v>
      </c>
      <c r="B211" s="2" t="str">
        <f t="shared" si="12"/>
        <v>SG</v>
      </c>
      <c r="C211" s="4" t="s">
        <v>141</v>
      </c>
      <c r="D211" s="4" t="s">
        <v>0</v>
      </c>
      <c r="E211" s="4" t="s">
        <v>12</v>
      </c>
      <c r="F211" s="2" t="s">
        <v>0</v>
      </c>
      <c r="G211" s="2" t="str">
        <f>"06"</f>
        <v>06</v>
      </c>
      <c r="H211" s="3">
        <v>1000</v>
      </c>
    </row>
    <row r="212" spans="1:8" ht="29.25" x14ac:dyDescent="0.25">
      <c r="A212" s="2" t="str">
        <f>"00019340"</f>
        <v>00019340</v>
      </c>
      <c r="B212" s="2" t="str">
        <f t="shared" si="12"/>
        <v>SG</v>
      </c>
      <c r="C212" s="4" t="s">
        <v>142</v>
      </c>
      <c r="D212" s="4" t="s">
        <v>0</v>
      </c>
      <c r="E212" s="4" t="s">
        <v>12</v>
      </c>
      <c r="F212" s="2" t="s">
        <v>0</v>
      </c>
      <c r="G212" s="2" t="str">
        <f>"08"</f>
        <v>08</v>
      </c>
      <c r="H212" s="3">
        <v>1183</v>
      </c>
    </row>
    <row r="213" spans="1:8" ht="29.25" x14ac:dyDescent="0.25">
      <c r="A213" s="2" t="str">
        <f>"00019342"</f>
        <v>00019342</v>
      </c>
      <c r="B213" s="2" t="str">
        <f t="shared" si="12"/>
        <v>SG</v>
      </c>
      <c r="C213" s="4" t="s">
        <v>143</v>
      </c>
      <c r="D213" s="4" t="s">
        <v>0</v>
      </c>
      <c r="E213" s="4" t="s">
        <v>12</v>
      </c>
      <c r="F213" s="2" t="s">
        <v>0</v>
      </c>
      <c r="G213" s="2" t="str">
        <f>"09"</f>
        <v>09</v>
      </c>
      <c r="H213" s="3">
        <v>1662</v>
      </c>
    </row>
    <row r="214" spans="1:8" ht="29.25" x14ac:dyDescent="0.25">
      <c r="A214" s="2" t="str">
        <f>"00019350"</f>
        <v>00019350</v>
      </c>
      <c r="B214" s="2" t="str">
        <f t="shared" si="12"/>
        <v>SG</v>
      </c>
      <c r="C214" s="4" t="s">
        <v>144</v>
      </c>
      <c r="D214" s="4" t="s">
        <v>0</v>
      </c>
      <c r="E214" s="4" t="s">
        <v>145</v>
      </c>
      <c r="F214" s="2" t="s">
        <v>0</v>
      </c>
      <c r="G214" s="2" t="str">
        <f>"03"</f>
        <v>03</v>
      </c>
      <c r="H214" s="3">
        <v>637</v>
      </c>
    </row>
    <row r="215" spans="1:8" ht="29.25" x14ac:dyDescent="0.25">
      <c r="A215" s="2" t="str">
        <f>"00019355"</f>
        <v>00019355</v>
      </c>
      <c r="B215" s="2" t="str">
        <f t="shared" si="12"/>
        <v>SG</v>
      </c>
      <c r="C215" s="4" t="s">
        <v>146</v>
      </c>
      <c r="D215" s="4" t="s">
        <v>101</v>
      </c>
      <c r="E215" s="4" t="s">
        <v>12</v>
      </c>
      <c r="F215" s="2" t="s">
        <v>0</v>
      </c>
      <c r="G215" s="2" t="str">
        <f>"06"</f>
        <v>06</v>
      </c>
      <c r="H215" s="3">
        <v>1000</v>
      </c>
    </row>
    <row r="216" spans="1:8" x14ac:dyDescent="0.25">
      <c r="A216" s="2" t="str">
        <f>"00019357"</f>
        <v>00019357</v>
      </c>
      <c r="B216" s="2" t="str">
        <f t="shared" si="12"/>
        <v>SG</v>
      </c>
      <c r="C216" s="4" t="s">
        <v>144</v>
      </c>
      <c r="D216" s="4" t="s">
        <v>101</v>
      </c>
      <c r="E216" s="4" t="s">
        <v>12</v>
      </c>
      <c r="F216" s="2" t="s">
        <v>0</v>
      </c>
      <c r="G216" s="2" t="str">
        <f>"09"</f>
        <v>09</v>
      </c>
      <c r="H216" s="3">
        <v>1662</v>
      </c>
    </row>
    <row r="217" spans="1:8" ht="29.25" x14ac:dyDescent="0.25">
      <c r="A217" s="2" t="str">
        <f>"00019370"</f>
        <v>00019370</v>
      </c>
      <c r="B217" s="2" t="str">
        <f t="shared" si="12"/>
        <v>SG</v>
      </c>
      <c r="C217" s="4" t="s">
        <v>147</v>
      </c>
      <c r="D217" s="4" t="s">
        <v>0</v>
      </c>
      <c r="E217" s="4" t="s">
        <v>12</v>
      </c>
      <c r="F217" s="2" t="s">
        <v>0</v>
      </c>
      <c r="G217" s="2" t="str">
        <f>"06"</f>
        <v>06</v>
      </c>
      <c r="H217" s="3">
        <v>1000</v>
      </c>
    </row>
    <row r="218" spans="1:8" ht="29.25" x14ac:dyDescent="0.25">
      <c r="A218" s="2" t="str">
        <f>"00019371"</f>
        <v>00019371</v>
      </c>
      <c r="B218" s="2" t="str">
        <f t="shared" si="12"/>
        <v>SG</v>
      </c>
      <c r="C218" s="4" t="s">
        <v>148</v>
      </c>
      <c r="D218" s="4" t="s">
        <v>0</v>
      </c>
      <c r="E218" s="4" t="s">
        <v>12</v>
      </c>
      <c r="F218" s="2" t="s">
        <v>0</v>
      </c>
      <c r="G218" s="2" t="str">
        <f>"06"</f>
        <v>06</v>
      </c>
      <c r="H218" s="3">
        <v>1000</v>
      </c>
    </row>
    <row r="219" spans="1:8" ht="29.25" x14ac:dyDescent="0.25">
      <c r="A219" s="2" t="str">
        <f>"00019380"</f>
        <v>00019380</v>
      </c>
      <c r="B219" s="2" t="str">
        <f t="shared" si="12"/>
        <v>SG</v>
      </c>
      <c r="C219" s="4" t="s">
        <v>149</v>
      </c>
      <c r="D219" s="4" t="s">
        <v>0</v>
      </c>
      <c r="E219" s="4" t="s">
        <v>12</v>
      </c>
      <c r="F219" s="2" t="s">
        <v>0</v>
      </c>
      <c r="G219" s="2" t="str">
        <f>"08"</f>
        <v>08</v>
      </c>
      <c r="H219" s="3">
        <v>1183</v>
      </c>
    </row>
    <row r="220" spans="1:8" x14ac:dyDescent="0.25">
      <c r="A220" s="2" t="str">
        <f>"00020200"</f>
        <v>00020200</v>
      </c>
      <c r="B220" s="2" t="str">
        <f t="shared" si="12"/>
        <v>SG</v>
      </c>
      <c r="C220" s="4" t="s">
        <v>150</v>
      </c>
      <c r="D220" s="4" t="s">
        <v>0</v>
      </c>
      <c r="E220" s="4" t="s">
        <v>12</v>
      </c>
      <c r="F220" s="2" t="s">
        <v>0</v>
      </c>
      <c r="G220" s="2" t="str">
        <f>"01"</f>
        <v>01</v>
      </c>
      <c r="H220" s="3">
        <v>413</v>
      </c>
    </row>
    <row r="221" spans="1:8" x14ac:dyDescent="0.25">
      <c r="A221" s="2" t="str">
        <f>"00020205"</f>
        <v>00020205</v>
      </c>
      <c r="B221" s="2" t="str">
        <f t="shared" si="12"/>
        <v>SG</v>
      </c>
      <c r="C221" s="4" t="s">
        <v>151</v>
      </c>
      <c r="D221" s="4" t="s">
        <v>0</v>
      </c>
      <c r="E221" s="4" t="s">
        <v>12</v>
      </c>
      <c r="F221" s="2" t="s">
        <v>0</v>
      </c>
      <c r="G221" s="2" t="str">
        <f>"01"</f>
        <v>01</v>
      </c>
      <c r="H221" s="3">
        <v>413</v>
      </c>
    </row>
    <row r="222" spans="1:8" x14ac:dyDescent="0.25">
      <c r="A222" s="2" t="str">
        <f>"00020206"</f>
        <v>00020206</v>
      </c>
      <c r="B222" s="2" t="str">
        <f t="shared" si="12"/>
        <v>SG</v>
      </c>
      <c r="C222" s="4" t="s">
        <v>152</v>
      </c>
      <c r="D222" s="4" t="s">
        <v>0</v>
      </c>
      <c r="E222" s="4" t="s">
        <v>12</v>
      </c>
      <c r="F222" s="2" t="s">
        <v>0</v>
      </c>
      <c r="G222" s="2" t="str">
        <f>"01"</f>
        <v>01</v>
      </c>
      <c r="H222" s="3">
        <v>413</v>
      </c>
    </row>
    <row r="223" spans="1:8" ht="29.25" x14ac:dyDescent="0.25">
      <c r="A223" s="2" t="str">
        <f>"00020220"</f>
        <v>00020220</v>
      </c>
      <c r="B223" s="2" t="str">
        <f t="shared" si="12"/>
        <v>SG</v>
      </c>
      <c r="C223" s="4" t="s">
        <v>153</v>
      </c>
      <c r="D223" s="4" t="s">
        <v>0</v>
      </c>
      <c r="E223" s="4" t="s">
        <v>12</v>
      </c>
      <c r="F223" s="2" t="s">
        <v>0</v>
      </c>
      <c r="G223" s="2" t="str">
        <f>"01"</f>
        <v>01</v>
      </c>
      <c r="H223" s="3">
        <v>413</v>
      </c>
    </row>
    <row r="224" spans="1:8" ht="29.25" x14ac:dyDescent="0.25">
      <c r="A224" s="2" t="str">
        <f>"00020225"</f>
        <v>00020225</v>
      </c>
      <c r="B224" s="2" t="str">
        <f t="shared" si="12"/>
        <v>SG</v>
      </c>
      <c r="C224" s="4" t="s">
        <v>153</v>
      </c>
      <c r="D224" s="4" t="s">
        <v>0</v>
      </c>
      <c r="E224" s="4" t="s">
        <v>12</v>
      </c>
      <c r="F224" s="2" t="s">
        <v>0</v>
      </c>
      <c r="G224" s="2" t="str">
        <f>"01"</f>
        <v>01</v>
      </c>
      <c r="H224" s="3">
        <v>413</v>
      </c>
    </row>
    <row r="225" spans="1:8" x14ac:dyDescent="0.25">
      <c r="A225" s="2" t="str">
        <f>"00020240"</f>
        <v>00020240</v>
      </c>
      <c r="B225" s="2" t="str">
        <f t="shared" si="12"/>
        <v>SG</v>
      </c>
      <c r="C225" s="4" t="s">
        <v>154</v>
      </c>
      <c r="D225" s="4" t="s">
        <v>0</v>
      </c>
      <c r="E225" s="4" t="s">
        <v>12</v>
      </c>
      <c r="F225" s="2" t="s">
        <v>0</v>
      </c>
      <c r="G225" s="2" t="str">
        <f>"02"</f>
        <v>02</v>
      </c>
      <c r="H225" s="3">
        <v>552</v>
      </c>
    </row>
    <row r="226" spans="1:8" x14ac:dyDescent="0.25">
      <c r="A226" s="2" t="str">
        <f>"00020245"</f>
        <v>00020245</v>
      </c>
      <c r="B226" s="2" t="str">
        <f t="shared" si="12"/>
        <v>SG</v>
      </c>
      <c r="C226" s="4" t="s">
        <v>154</v>
      </c>
      <c r="D226" s="4" t="s">
        <v>0</v>
      </c>
      <c r="E226" s="4" t="s">
        <v>12</v>
      </c>
      <c r="F226" s="2" t="s">
        <v>0</v>
      </c>
      <c r="G226" s="2" t="str">
        <f>"02"</f>
        <v>02</v>
      </c>
      <c r="H226" s="3">
        <v>552</v>
      </c>
    </row>
    <row r="227" spans="1:8" x14ac:dyDescent="0.25">
      <c r="A227" s="2" t="str">
        <f>"00020250"</f>
        <v>00020250</v>
      </c>
      <c r="B227" s="2" t="str">
        <f t="shared" si="12"/>
        <v>SG</v>
      </c>
      <c r="C227" s="4" t="s">
        <v>155</v>
      </c>
      <c r="D227" s="4" t="s">
        <v>0</v>
      </c>
      <c r="E227" s="4" t="s">
        <v>12</v>
      </c>
      <c r="F227" s="2" t="s">
        <v>0</v>
      </c>
      <c r="G227" s="2" t="str">
        <f>"04"</f>
        <v>04</v>
      </c>
      <c r="H227" s="3">
        <v>785</v>
      </c>
    </row>
    <row r="228" spans="1:8" x14ac:dyDescent="0.25">
      <c r="A228" s="2" t="str">
        <f>"00020251"</f>
        <v>00020251</v>
      </c>
      <c r="B228" s="2" t="str">
        <f t="shared" si="12"/>
        <v>SG</v>
      </c>
      <c r="C228" s="4" t="s">
        <v>155</v>
      </c>
      <c r="D228" s="4" t="s">
        <v>0</v>
      </c>
      <c r="E228" s="4" t="s">
        <v>12</v>
      </c>
      <c r="F228" s="2" t="s">
        <v>0</v>
      </c>
      <c r="G228" s="2" t="str">
        <f>"04"</f>
        <v>04</v>
      </c>
      <c r="H228" s="3">
        <v>785</v>
      </c>
    </row>
    <row r="229" spans="1:8" ht="29.25" x14ac:dyDescent="0.25">
      <c r="A229" s="2" t="str">
        <f>"00020525"</f>
        <v>00020525</v>
      </c>
      <c r="B229" s="2" t="str">
        <f t="shared" si="12"/>
        <v>SG</v>
      </c>
      <c r="C229" s="4" t="s">
        <v>156</v>
      </c>
      <c r="D229" s="4" t="s">
        <v>0</v>
      </c>
      <c r="E229" s="4" t="s">
        <v>12</v>
      </c>
      <c r="F229" s="2" t="s">
        <v>0</v>
      </c>
      <c r="G229" s="2" t="str">
        <f>"02"</f>
        <v>02</v>
      </c>
      <c r="H229" s="3">
        <v>552</v>
      </c>
    </row>
    <row r="230" spans="1:8" ht="114.75" x14ac:dyDescent="0.25">
      <c r="A230" s="2" t="str">
        <f>"00020555"</f>
        <v>00020555</v>
      </c>
      <c r="B230" s="2" t="str">
        <f t="shared" si="12"/>
        <v>SG</v>
      </c>
      <c r="C230" s="4" t="s">
        <v>157</v>
      </c>
      <c r="D230" s="4" t="s">
        <v>0</v>
      </c>
      <c r="E230" s="4" t="s">
        <v>12</v>
      </c>
      <c r="F230" s="2" t="s">
        <v>0</v>
      </c>
      <c r="G230" s="2" t="str">
        <f>"04"</f>
        <v>04</v>
      </c>
      <c r="H230" s="3">
        <v>785</v>
      </c>
    </row>
    <row r="231" spans="1:8" ht="29.25" x14ac:dyDescent="0.25">
      <c r="A231" s="2" t="str">
        <f>"00020650"</f>
        <v>00020650</v>
      </c>
      <c r="B231" s="2" t="str">
        <f t="shared" si="12"/>
        <v>SG</v>
      </c>
      <c r="C231" s="4" t="s">
        <v>158</v>
      </c>
      <c r="D231" s="4" t="s">
        <v>0</v>
      </c>
      <c r="E231" s="4" t="s">
        <v>12</v>
      </c>
      <c r="F231" s="2" t="s">
        <v>0</v>
      </c>
      <c r="G231" s="2" t="str">
        <f>"04"</f>
        <v>04</v>
      </c>
      <c r="H231" s="3">
        <v>785</v>
      </c>
    </row>
    <row r="232" spans="1:8" ht="29.25" x14ac:dyDescent="0.25">
      <c r="A232" s="2" t="str">
        <f>"00020670"</f>
        <v>00020670</v>
      </c>
      <c r="B232" s="2" t="str">
        <f t="shared" si="12"/>
        <v>SG</v>
      </c>
      <c r="C232" s="4" t="s">
        <v>159</v>
      </c>
      <c r="D232" s="4" t="s">
        <v>0</v>
      </c>
      <c r="E232" s="4" t="s">
        <v>12</v>
      </c>
      <c r="F232" s="2" t="s">
        <v>0</v>
      </c>
      <c r="G232" s="2" t="str">
        <f>"01"</f>
        <v>01</v>
      </c>
      <c r="H232" s="3">
        <v>413</v>
      </c>
    </row>
    <row r="233" spans="1:8" ht="29.25" x14ac:dyDescent="0.25">
      <c r="A233" s="2" t="str">
        <f>"00020680"</f>
        <v>00020680</v>
      </c>
      <c r="B233" s="2" t="str">
        <f t="shared" si="12"/>
        <v>SG</v>
      </c>
      <c r="C233" s="4" t="s">
        <v>159</v>
      </c>
      <c r="D233" s="4" t="s">
        <v>0</v>
      </c>
      <c r="E233" s="4" t="s">
        <v>12</v>
      </c>
      <c r="F233" s="2" t="s">
        <v>0</v>
      </c>
      <c r="G233" s="2" t="str">
        <f>"02"</f>
        <v>02</v>
      </c>
      <c r="H233" s="3">
        <v>552</v>
      </c>
    </row>
    <row r="234" spans="1:8" ht="29.25" x14ac:dyDescent="0.25">
      <c r="A234" s="2" t="str">
        <f>"00020690"</f>
        <v>00020690</v>
      </c>
      <c r="B234" s="2" t="str">
        <f t="shared" si="12"/>
        <v>SG</v>
      </c>
      <c r="C234" s="4" t="s">
        <v>160</v>
      </c>
      <c r="D234" s="4" t="s">
        <v>0</v>
      </c>
      <c r="E234" s="4" t="s">
        <v>12</v>
      </c>
      <c r="F234" s="2" t="s">
        <v>0</v>
      </c>
      <c r="G234" s="2" t="str">
        <f>"04"</f>
        <v>04</v>
      </c>
      <c r="H234" s="3">
        <v>785</v>
      </c>
    </row>
    <row r="235" spans="1:8" ht="29.25" x14ac:dyDescent="0.25">
      <c r="A235" s="2" t="str">
        <f>"00020692"</f>
        <v>00020692</v>
      </c>
      <c r="B235" s="2" t="str">
        <f t="shared" si="12"/>
        <v>SG</v>
      </c>
      <c r="C235" s="4" t="s">
        <v>160</v>
      </c>
      <c r="D235" s="4" t="s">
        <v>0</v>
      </c>
      <c r="E235" s="4" t="s">
        <v>12</v>
      </c>
      <c r="F235" s="2" t="s">
        <v>0</v>
      </c>
      <c r="G235" s="2" t="str">
        <f>"04"</f>
        <v>04</v>
      </c>
      <c r="H235" s="3">
        <v>785</v>
      </c>
    </row>
    <row r="236" spans="1:8" ht="29.25" x14ac:dyDescent="0.25">
      <c r="A236" s="2" t="str">
        <f>"00020693"</f>
        <v>00020693</v>
      </c>
      <c r="B236" s="2" t="str">
        <f t="shared" si="12"/>
        <v>SG</v>
      </c>
      <c r="C236" s="4" t="s">
        <v>161</v>
      </c>
      <c r="D236" s="4" t="s">
        <v>0</v>
      </c>
      <c r="E236" s="4" t="s">
        <v>12</v>
      </c>
      <c r="F236" s="2" t="s">
        <v>0</v>
      </c>
      <c r="G236" s="2" t="str">
        <f>"04"</f>
        <v>04</v>
      </c>
      <c r="H236" s="3">
        <v>785</v>
      </c>
    </row>
    <row r="237" spans="1:8" ht="29.25" x14ac:dyDescent="0.25">
      <c r="A237" s="2" t="str">
        <f>"00020694"</f>
        <v>00020694</v>
      </c>
      <c r="B237" s="2" t="str">
        <f t="shared" si="12"/>
        <v>SG</v>
      </c>
      <c r="C237" s="4" t="s">
        <v>162</v>
      </c>
      <c r="D237" s="4" t="s">
        <v>0</v>
      </c>
      <c r="E237" s="4" t="s">
        <v>12</v>
      </c>
      <c r="F237" s="2" t="s">
        <v>0</v>
      </c>
      <c r="G237" s="2" t="str">
        <f>"02"</f>
        <v>02</v>
      </c>
      <c r="H237" s="3">
        <v>552</v>
      </c>
    </row>
    <row r="238" spans="1:8" ht="86.25" x14ac:dyDescent="0.25">
      <c r="A238" s="2" t="str">
        <f>"00020822"</f>
        <v>00020822</v>
      </c>
      <c r="B238" s="2" t="str">
        <f t="shared" si="12"/>
        <v>SG</v>
      </c>
      <c r="C238" s="4" t="s">
        <v>163</v>
      </c>
      <c r="D238" s="4" t="s">
        <v>0</v>
      </c>
      <c r="E238" s="4" t="s">
        <v>12</v>
      </c>
      <c r="F238" s="2" t="s">
        <v>0</v>
      </c>
      <c r="G238" s="2" t="str">
        <f>"03"</f>
        <v>03</v>
      </c>
      <c r="H238" s="3">
        <v>637</v>
      </c>
    </row>
    <row r="239" spans="1:8" ht="29.25" x14ac:dyDescent="0.25">
      <c r="A239" s="2" t="str">
        <f>"00020900"</f>
        <v>00020900</v>
      </c>
      <c r="B239" s="2" t="str">
        <f t="shared" si="12"/>
        <v>SG</v>
      </c>
      <c r="C239" s="4" t="s">
        <v>164</v>
      </c>
      <c r="D239" s="4" t="s">
        <v>0</v>
      </c>
      <c r="E239" s="4" t="s">
        <v>12</v>
      </c>
      <c r="F239" s="2" t="s">
        <v>0</v>
      </c>
      <c r="G239" s="2" t="str">
        <f>"04"</f>
        <v>04</v>
      </c>
      <c r="H239" s="3">
        <v>785</v>
      </c>
    </row>
    <row r="240" spans="1:8" ht="29.25" x14ac:dyDescent="0.25">
      <c r="A240" s="2" t="str">
        <f>"00020902"</f>
        <v>00020902</v>
      </c>
      <c r="B240" s="2" t="str">
        <f t="shared" si="12"/>
        <v>SG</v>
      </c>
      <c r="C240" s="4" t="s">
        <v>164</v>
      </c>
      <c r="D240" s="4" t="s">
        <v>0</v>
      </c>
      <c r="E240" s="4" t="s">
        <v>12</v>
      </c>
      <c r="F240" s="2" t="s">
        <v>0</v>
      </c>
      <c r="G240" s="2" t="str">
        <f>"04"</f>
        <v>04</v>
      </c>
      <c r="H240" s="3">
        <v>785</v>
      </c>
    </row>
    <row r="241" spans="1:8" ht="29.25" x14ac:dyDescent="0.25">
      <c r="A241" s="2" t="str">
        <f>"00020910"</f>
        <v>00020910</v>
      </c>
      <c r="B241" s="2" t="str">
        <f t="shared" si="12"/>
        <v>SG</v>
      </c>
      <c r="C241" s="4" t="s">
        <v>165</v>
      </c>
      <c r="D241" s="4" t="s">
        <v>0</v>
      </c>
      <c r="E241" s="4" t="s">
        <v>12</v>
      </c>
      <c r="F241" s="2" t="s">
        <v>0</v>
      </c>
      <c r="G241" s="2" t="str">
        <f>"01"</f>
        <v>01</v>
      </c>
      <c r="H241" s="3">
        <v>413</v>
      </c>
    </row>
    <row r="242" spans="1:8" ht="29.25" x14ac:dyDescent="0.25">
      <c r="A242" s="2" t="str">
        <f>"00020912"</f>
        <v>00020912</v>
      </c>
      <c r="B242" s="2" t="str">
        <f t="shared" si="12"/>
        <v>SG</v>
      </c>
      <c r="C242" s="4" t="s">
        <v>165</v>
      </c>
      <c r="D242" s="4" t="s">
        <v>0</v>
      </c>
      <c r="E242" s="4" t="s">
        <v>12</v>
      </c>
      <c r="F242" s="2" t="s">
        <v>0</v>
      </c>
      <c r="G242" s="2" t="str">
        <f>"03"</f>
        <v>03</v>
      </c>
      <c r="H242" s="3">
        <v>637</v>
      </c>
    </row>
    <row r="243" spans="1:8" ht="29.25" x14ac:dyDescent="0.25">
      <c r="A243" s="2" t="str">
        <f>"00020920"</f>
        <v>00020920</v>
      </c>
      <c r="B243" s="2" t="str">
        <f t="shared" si="12"/>
        <v>SG</v>
      </c>
      <c r="C243" s="4" t="s">
        <v>166</v>
      </c>
      <c r="D243" s="4" t="s">
        <v>0</v>
      </c>
      <c r="E243" s="4" t="s">
        <v>12</v>
      </c>
      <c r="F243" s="2" t="s">
        <v>0</v>
      </c>
      <c r="G243" s="2" t="str">
        <f>"03"</f>
        <v>03</v>
      </c>
      <c r="H243" s="3">
        <v>637</v>
      </c>
    </row>
    <row r="244" spans="1:8" ht="29.25" x14ac:dyDescent="0.25">
      <c r="A244" s="2" t="str">
        <f>"00020922"</f>
        <v>00020922</v>
      </c>
      <c r="B244" s="2" t="str">
        <f t="shared" si="12"/>
        <v>SG</v>
      </c>
      <c r="C244" s="4" t="s">
        <v>166</v>
      </c>
      <c r="D244" s="4" t="s">
        <v>0</v>
      </c>
      <c r="E244" s="4" t="s">
        <v>12</v>
      </c>
      <c r="F244" s="2" t="s">
        <v>0</v>
      </c>
      <c r="G244" s="2" t="str">
        <f>"03"</f>
        <v>03</v>
      </c>
      <c r="H244" s="3">
        <v>637</v>
      </c>
    </row>
    <row r="245" spans="1:8" ht="29.25" x14ac:dyDescent="0.25">
      <c r="A245" s="2" t="str">
        <f>"00020924"</f>
        <v>00020924</v>
      </c>
      <c r="B245" s="2" t="str">
        <f t="shared" si="12"/>
        <v>SG</v>
      </c>
      <c r="C245" s="4" t="s">
        <v>167</v>
      </c>
      <c r="D245" s="4" t="s">
        <v>0</v>
      </c>
      <c r="E245" s="4" t="s">
        <v>12</v>
      </c>
      <c r="F245" s="2" t="s">
        <v>0</v>
      </c>
      <c r="G245" s="2" t="str">
        <f>"04"</f>
        <v>04</v>
      </c>
      <c r="H245" s="3">
        <v>785</v>
      </c>
    </row>
    <row r="246" spans="1:8" ht="29.25" x14ac:dyDescent="0.25">
      <c r="A246" s="2" t="str">
        <f>"00020975"</f>
        <v>00020975</v>
      </c>
      <c r="B246" s="2" t="str">
        <f t="shared" si="12"/>
        <v>SG</v>
      </c>
      <c r="C246" s="4" t="s">
        <v>168</v>
      </c>
      <c r="D246" s="4" t="s">
        <v>0</v>
      </c>
      <c r="E246" s="4" t="s">
        <v>12</v>
      </c>
      <c r="F246" s="2" t="s">
        <v>0</v>
      </c>
      <c r="G246" s="2" t="str">
        <f>"01"</f>
        <v>01</v>
      </c>
      <c r="H246" s="3">
        <v>413</v>
      </c>
    </row>
    <row r="247" spans="1:8" ht="100.5" x14ac:dyDescent="0.25">
      <c r="A247" s="2" t="str">
        <f>"00020982"</f>
        <v>00020982</v>
      </c>
      <c r="B247" s="2" t="str">
        <f t="shared" si="12"/>
        <v>SG</v>
      </c>
      <c r="C247" s="4" t="s">
        <v>169</v>
      </c>
      <c r="D247" s="4" t="s">
        <v>0</v>
      </c>
      <c r="E247" s="4" t="s">
        <v>12</v>
      </c>
      <c r="F247" s="2" t="s">
        <v>0</v>
      </c>
      <c r="G247" s="2" t="str">
        <f>"07"</f>
        <v>07</v>
      </c>
      <c r="H247" s="3">
        <v>1233</v>
      </c>
    </row>
    <row r="248" spans="1:8" x14ac:dyDescent="0.25">
      <c r="A248" s="2" t="str">
        <f>"00021010"</f>
        <v>00021010</v>
      </c>
      <c r="B248" s="2" t="str">
        <f t="shared" si="12"/>
        <v>SG</v>
      </c>
      <c r="C248" s="4" t="s">
        <v>170</v>
      </c>
      <c r="D248" s="4" t="s">
        <v>0</v>
      </c>
      <c r="E248" s="4" t="s">
        <v>12</v>
      </c>
      <c r="F248" s="2" t="s">
        <v>0</v>
      </c>
      <c r="G248" s="2" t="str">
        <f>"07"</f>
        <v>07</v>
      </c>
      <c r="H248" s="3">
        <v>1233</v>
      </c>
    </row>
    <row r="249" spans="1:8" ht="29.25" x14ac:dyDescent="0.25">
      <c r="A249" s="2" t="str">
        <f>"00021012"</f>
        <v>00021012</v>
      </c>
      <c r="B249" s="2" t="str">
        <f t="shared" si="12"/>
        <v>SG</v>
      </c>
      <c r="C249" s="4" t="s">
        <v>171</v>
      </c>
      <c r="D249" s="4" t="s">
        <v>0</v>
      </c>
      <c r="E249" s="4" t="s">
        <v>12</v>
      </c>
      <c r="F249" s="2" t="s">
        <v>0</v>
      </c>
      <c r="G249" s="2" t="str">
        <f>"01"</f>
        <v>01</v>
      </c>
      <c r="H249" s="3">
        <v>413</v>
      </c>
    </row>
    <row r="250" spans="1:8" ht="29.25" x14ac:dyDescent="0.25">
      <c r="A250" s="2" t="str">
        <f>"00021014"</f>
        <v>00021014</v>
      </c>
      <c r="B250" s="2" t="str">
        <f t="shared" si="12"/>
        <v>SG</v>
      </c>
      <c r="C250" s="4" t="s">
        <v>172</v>
      </c>
      <c r="D250" s="4" t="s">
        <v>0</v>
      </c>
      <c r="E250" s="4" t="s">
        <v>12</v>
      </c>
      <c r="F250" s="2" t="s">
        <v>0</v>
      </c>
      <c r="G250" s="2" t="str">
        <f>"01"</f>
        <v>01</v>
      </c>
      <c r="H250" s="3">
        <v>413</v>
      </c>
    </row>
    <row r="251" spans="1:8" ht="29.25" x14ac:dyDescent="0.25">
      <c r="A251" s="2" t="str">
        <f>"00021015"</f>
        <v>00021015</v>
      </c>
      <c r="B251" s="2" t="str">
        <f t="shared" si="12"/>
        <v>SG</v>
      </c>
      <c r="C251" s="4" t="s">
        <v>173</v>
      </c>
      <c r="D251" s="4" t="s">
        <v>0</v>
      </c>
      <c r="E251" s="4" t="s">
        <v>12</v>
      </c>
      <c r="F251" s="2" t="s">
        <v>0</v>
      </c>
      <c r="G251" s="2" t="str">
        <f>"01"</f>
        <v>01</v>
      </c>
      <c r="H251" s="3">
        <v>413</v>
      </c>
    </row>
    <row r="252" spans="1:8" ht="29.25" x14ac:dyDescent="0.25">
      <c r="A252" s="2" t="str">
        <f>"00021016"</f>
        <v>00021016</v>
      </c>
      <c r="B252" s="2" t="str">
        <f t="shared" si="12"/>
        <v>SG</v>
      </c>
      <c r="C252" s="4" t="s">
        <v>174</v>
      </c>
      <c r="D252" s="4" t="s">
        <v>0</v>
      </c>
      <c r="E252" s="4" t="s">
        <v>12</v>
      </c>
      <c r="F252" s="2" t="s">
        <v>0</v>
      </c>
      <c r="G252" s="2" t="str">
        <f>"02"</f>
        <v>02</v>
      </c>
      <c r="H252" s="3">
        <v>552</v>
      </c>
    </row>
    <row r="253" spans="1:8" ht="29.25" x14ac:dyDescent="0.25">
      <c r="A253" s="2" t="str">
        <f>"00021025"</f>
        <v>00021025</v>
      </c>
      <c r="B253" s="2" t="str">
        <f t="shared" si="12"/>
        <v>SG</v>
      </c>
      <c r="C253" s="4" t="s">
        <v>175</v>
      </c>
      <c r="D253" s="4" t="s">
        <v>0</v>
      </c>
      <c r="E253" s="4" t="s">
        <v>12</v>
      </c>
      <c r="F253" s="2" t="s">
        <v>0</v>
      </c>
      <c r="G253" s="2" t="str">
        <f>"07"</f>
        <v>07</v>
      </c>
      <c r="H253" s="3">
        <v>1233</v>
      </c>
    </row>
    <row r="254" spans="1:8" ht="29.25" x14ac:dyDescent="0.25">
      <c r="A254" s="2" t="str">
        <f>"00021026"</f>
        <v>00021026</v>
      </c>
      <c r="B254" s="2" t="str">
        <f t="shared" si="12"/>
        <v>SG</v>
      </c>
      <c r="C254" s="4" t="s">
        <v>176</v>
      </c>
      <c r="D254" s="4" t="s">
        <v>0</v>
      </c>
      <c r="E254" s="4" t="s">
        <v>12</v>
      </c>
      <c r="F254" s="2" t="s">
        <v>0</v>
      </c>
      <c r="G254" s="2" t="str">
        <f>"03"</f>
        <v>03</v>
      </c>
      <c r="H254" s="3">
        <v>637</v>
      </c>
    </row>
    <row r="255" spans="1:8" ht="29.25" x14ac:dyDescent="0.25">
      <c r="A255" s="2" t="str">
        <f>"00021029"</f>
        <v>00021029</v>
      </c>
      <c r="B255" s="2" t="str">
        <f t="shared" si="12"/>
        <v>SG</v>
      </c>
      <c r="C255" s="4" t="s">
        <v>177</v>
      </c>
      <c r="D255" s="4" t="s">
        <v>0</v>
      </c>
      <c r="E255" s="4" t="s">
        <v>12</v>
      </c>
      <c r="F255" s="2" t="s">
        <v>0</v>
      </c>
      <c r="G255" s="2" t="str">
        <f>"03"</f>
        <v>03</v>
      </c>
      <c r="H255" s="3">
        <v>637</v>
      </c>
    </row>
    <row r="256" spans="1:8" ht="29.25" x14ac:dyDescent="0.25">
      <c r="A256" s="2" t="str">
        <f>"00021034"</f>
        <v>00021034</v>
      </c>
      <c r="B256" s="2" t="str">
        <f t="shared" si="12"/>
        <v>SG</v>
      </c>
      <c r="C256" s="4" t="s">
        <v>178</v>
      </c>
      <c r="D256" s="4" t="s">
        <v>0</v>
      </c>
      <c r="E256" s="4" t="s">
        <v>12</v>
      </c>
      <c r="F256" s="2" t="s">
        <v>0</v>
      </c>
      <c r="G256" s="2" t="str">
        <f>"07"</f>
        <v>07</v>
      </c>
      <c r="H256" s="3">
        <v>1233</v>
      </c>
    </row>
    <row r="257" spans="1:8" x14ac:dyDescent="0.25">
      <c r="A257" s="2" t="str">
        <f>"00021040"</f>
        <v>00021040</v>
      </c>
      <c r="B257" s="2" t="str">
        <f t="shared" si="12"/>
        <v>SG</v>
      </c>
      <c r="C257" s="4" t="s">
        <v>179</v>
      </c>
      <c r="D257" s="4" t="s">
        <v>0</v>
      </c>
      <c r="E257" s="4" t="s">
        <v>12</v>
      </c>
      <c r="F257" s="2" t="s">
        <v>0</v>
      </c>
      <c r="G257" s="2" t="str">
        <f>"03"</f>
        <v>03</v>
      </c>
      <c r="H257" s="3">
        <v>637</v>
      </c>
    </row>
    <row r="258" spans="1:8" ht="29.25" x14ac:dyDescent="0.25">
      <c r="A258" s="2" t="str">
        <f>"00021044"</f>
        <v>00021044</v>
      </c>
      <c r="B258" s="2" t="str">
        <f t="shared" si="12"/>
        <v>SG</v>
      </c>
      <c r="C258" s="4" t="s">
        <v>180</v>
      </c>
      <c r="D258" s="4" t="s">
        <v>0</v>
      </c>
      <c r="E258" s="4" t="s">
        <v>12</v>
      </c>
      <c r="F258" s="2" t="s">
        <v>0</v>
      </c>
      <c r="G258" s="2" t="str">
        <f t="shared" ref="G258:G265" si="13">"07"</f>
        <v>07</v>
      </c>
      <c r="H258" s="3">
        <v>1233</v>
      </c>
    </row>
    <row r="259" spans="1:8" ht="29.25" x14ac:dyDescent="0.25">
      <c r="A259" s="2" t="str">
        <f>"00021046"</f>
        <v>00021046</v>
      </c>
      <c r="B259" s="2" t="str">
        <f t="shared" si="12"/>
        <v>SG</v>
      </c>
      <c r="C259" s="4" t="s">
        <v>181</v>
      </c>
      <c r="D259" s="4" t="s">
        <v>0</v>
      </c>
      <c r="E259" s="4" t="s">
        <v>12</v>
      </c>
      <c r="F259" s="2" t="s">
        <v>0</v>
      </c>
      <c r="G259" s="2" t="str">
        <f t="shared" si="13"/>
        <v>07</v>
      </c>
      <c r="H259" s="3">
        <v>1233</v>
      </c>
    </row>
    <row r="260" spans="1:8" ht="29.25" x14ac:dyDescent="0.25">
      <c r="A260" s="2" t="str">
        <f>"00021047"</f>
        <v>00021047</v>
      </c>
      <c r="B260" s="2" t="str">
        <f t="shared" si="12"/>
        <v>SG</v>
      </c>
      <c r="C260" s="4" t="s">
        <v>182</v>
      </c>
      <c r="D260" s="4" t="s">
        <v>0</v>
      </c>
      <c r="E260" s="4" t="s">
        <v>12</v>
      </c>
      <c r="F260" s="2" t="s">
        <v>0</v>
      </c>
      <c r="G260" s="2" t="str">
        <f t="shared" si="13"/>
        <v>07</v>
      </c>
      <c r="H260" s="3">
        <v>1233</v>
      </c>
    </row>
    <row r="261" spans="1:8" x14ac:dyDescent="0.25">
      <c r="A261" s="2" t="str">
        <f>"00021050"</f>
        <v>00021050</v>
      </c>
      <c r="B261" s="2" t="str">
        <f t="shared" si="12"/>
        <v>SG</v>
      </c>
      <c r="C261" s="4" t="s">
        <v>183</v>
      </c>
      <c r="D261" s="4" t="s">
        <v>0</v>
      </c>
      <c r="E261" s="4" t="s">
        <v>12</v>
      </c>
      <c r="F261" s="2" t="s">
        <v>0</v>
      </c>
      <c r="G261" s="2" t="str">
        <f t="shared" si="13"/>
        <v>07</v>
      </c>
      <c r="H261" s="3">
        <v>1233</v>
      </c>
    </row>
    <row r="262" spans="1:8" ht="29.25" x14ac:dyDescent="0.25">
      <c r="A262" s="2" t="str">
        <f>"00021060"</f>
        <v>00021060</v>
      </c>
      <c r="B262" s="2" t="str">
        <f t="shared" si="12"/>
        <v>SG</v>
      </c>
      <c r="C262" s="4" t="s">
        <v>184</v>
      </c>
      <c r="D262" s="4" t="s">
        <v>0</v>
      </c>
      <c r="E262" s="4" t="s">
        <v>12</v>
      </c>
      <c r="F262" s="2" t="s">
        <v>0</v>
      </c>
      <c r="G262" s="2" t="str">
        <f t="shared" si="13"/>
        <v>07</v>
      </c>
      <c r="H262" s="3">
        <v>1233</v>
      </c>
    </row>
    <row r="263" spans="1:8" ht="29.25" x14ac:dyDescent="0.25">
      <c r="A263" s="2" t="str">
        <f>"00021070"</f>
        <v>00021070</v>
      </c>
      <c r="B263" s="2" t="str">
        <f t="shared" si="12"/>
        <v>SG</v>
      </c>
      <c r="C263" s="4" t="s">
        <v>185</v>
      </c>
      <c r="D263" s="4" t="s">
        <v>0</v>
      </c>
      <c r="E263" s="4" t="s">
        <v>12</v>
      </c>
      <c r="F263" s="2" t="s">
        <v>0</v>
      </c>
      <c r="G263" s="2" t="str">
        <f t="shared" si="13"/>
        <v>07</v>
      </c>
      <c r="H263" s="3">
        <v>1233</v>
      </c>
    </row>
    <row r="264" spans="1:8" x14ac:dyDescent="0.25">
      <c r="A264" s="2" t="str">
        <f>"00021100"</f>
        <v>00021100</v>
      </c>
      <c r="B264" s="2" t="str">
        <f t="shared" si="12"/>
        <v>SG</v>
      </c>
      <c r="C264" s="4" t="s">
        <v>186</v>
      </c>
      <c r="D264" s="4" t="s">
        <v>0</v>
      </c>
      <c r="E264" s="4" t="s">
        <v>12</v>
      </c>
      <c r="F264" s="2" t="s">
        <v>0</v>
      </c>
      <c r="G264" s="2" t="str">
        <f t="shared" si="13"/>
        <v>07</v>
      </c>
      <c r="H264" s="3">
        <v>1233</v>
      </c>
    </row>
    <row r="265" spans="1:8" x14ac:dyDescent="0.25">
      <c r="A265" s="2" t="str">
        <f>"00021120"</f>
        <v>00021120</v>
      </c>
      <c r="B265" s="2" t="str">
        <f t="shared" si="12"/>
        <v>SG</v>
      </c>
      <c r="C265" s="4" t="s">
        <v>187</v>
      </c>
      <c r="D265" s="4" t="s">
        <v>101</v>
      </c>
      <c r="E265" s="4" t="s">
        <v>12</v>
      </c>
      <c r="F265" s="2" t="s">
        <v>0</v>
      </c>
      <c r="G265" s="2" t="str">
        <f t="shared" si="13"/>
        <v>07</v>
      </c>
      <c r="H265" s="3">
        <v>1233</v>
      </c>
    </row>
    <row r="266" spans="1:8" x14ac:dyDescent="0.25">
      <c r="A266" s="2" t="str">
        <f>"00021121"</f>
        <v>00021121</v>
      </c>
      <c r="B266" s="2" t="str">
        <f t="shared" si="12"/>
        <v>SG</v>
      </c>
      <c r="C266" s="4" t="s">
        <v>187</v>
      </c>
      <c r="D266" s="4" t="s">
        <v>101</v>
      </c>
      <c r="E266" s="4" t="s">
        <v>12</v>
      </c>
      <c r="F266" s="2" t="s">
        <v>0</v>
      </c>
      <c r="G266" s="2" t="str">
        <f>"03"</f>
        <v>03</v>
      </c>
      <c r="H266" s="3">
        <v>637</v>
      </c>
    </row>
    <row r="267" spans="1:8" x14ac:dyDescent="0.25">
      <c r="A267" s="2" t="str">
        <f>"00021122"</f>
        <v>00021122</v>
      </c>
      <c r="B267" s="2" t="str">
        <f t="shared" si="12"/>
        <v>SG</v>
      </c>
      <c r="C267" s="4" t="s">
        <v>187</v>
      </c>
      <c r="D267" s="4" t="s">
        <v>101</v>
      </c>
      <c r="E267" s="4" t="s">
        <v>12</v>
      </c>
      <c r="F267" s="2" t="s">
        <v>0</v>
      </c>
      <c r="G267" s="2" t="str">
        <f>"03"</f>
        <v>03</v>
      </c>
      <c r="H267" s="3">
        <v>637</v>
      </c>
    </row>
    <row r="268" spans="1:8" x14ac:dyDescent="0.25">
      <c r="A268" s="2" t="str">
        <f>"00021123"</f>
        <v>00021123</v>
      </c>
      <c r="B268" s="2" t="str">
        <f t="shared" si="12"/>
        <v>SG</v>
      </c>
      <c r="C268" s="4" t="s">
        <v>187</v>
      </c>
      <c r="D268" s="4" t="s">
        <v>101</v>
      </c>
      <c r="E268" s="4" t="s">
        <v>12</v>
      </c>
      <c r="F268" s="2" t="s">
        <v>0</v>
      </c>
      <c r="G268" s="2" t="str">
        <f>"03"</f>
        <v>03</v>
      </c>
      <c r="H268" s="3">
        <v>637</v>
      </c>
    </row>
    <row r="269" spans="1:8" ht="29.25" x14ac:dyDescent="0.25">
      <c r="A269" s="2" t="str">
        <f>"00021125"</f>
        <v>00021125</v>
      </c>
      <c r="B269" s="2" t="str">
        <f t="shared" ref="B269:B332" si="14">"SG"</f>
        <v>SG</v>
      </c>
      <c r="C269" s="4" t="s">
        <v>188</v>
      </c>
      <c r="D269" s="4" t="s">
        <v>101</v>
      </c>
      <c r="E269" s="4" t="s">
        <v>12</v>
      </c>
      <c r="F269" s="2" t="s">
        <v>0</v>
      </c>
      <c r="G269" s="2" t="str">
        <f>"03"</f>
        <v>03</v>
      </c>
      <c r="H269" s="3">
        <v>637</v>
      </c>
    </row>
    <row r="270" spans="1:8" ht="29.25" x14ac:dyDescent="0.25">
      <c r="A270" s="2" t="str">
        <f>"00021127"</f>
        <v>00021127</v>
      </c>
      <c r="B270" s="2" t="str">
        <f t="shared" si="14"/>
        <v>SG</v>
      </c>
      <c r="C270" s="4" t="s">
        <v>188</v>
      </c>
      <c r="D270" s="4" t="s">
        <v>0</v>
      </c>
      <c r="E270" s="4" t="s">
        <v>12</v>
      </c>
      <c r="F270" s="2" t="s">
        <v>0</v>
      </c>
      <c r="G270" s="2" t="str">
        <f>"07"</f>
        <v>07</v>
      </c>
      <c r="H270" s="3">
        <v>1233</v>
      </c>
    </row>
    <row r="271" spans="1:8" ht="29.25" x14ac:dyDescent="0.25">
      <c r="A271" s="2" t="str">
        <f>"00021181"</f>
        <v>00021181</v>
      </c>
      <c r="B271" s="2" t="str">
        <f t="shared" si="14"/>
        <v>SG</v>
      </c>
      <c r="C271" s="4" t="s">
        <v>189</v>
      </c>
      <c r="D271" s="4" t="s">
        <v>0</v>
      </c>
      <c r="E271" s="4" t="s">
        <v>12</v>
      </c>
      <c r="F271" s="2" t="s">
        <v>0</v>
      </c>
      <c r="G271" s="2" t="str">
        <f>"07"</f>
        <v>07</v>
      </c>
      <c r="H271" s="3">
        <v>1233</v>
      </c>
    </row>
    <row r="272" spans="1:8" ht="43.5" x14ac:dyDescent="0.25">
      <c r="A272" s="2" t="str">
        <f>"00021198"</f>
        <v>00021198</v>
      </c>
      <c r="B272" s="2" t="str">
        <f t="shared" si="14"/>
        <v>SG</v>
      </c>
      <c r="C272" s="4" t="s">
        <v>190</v>
      </c>
      <c r="D272" s="4" t="s">
        <v>101</v>
      </c>
      <c r="E272" s="4" t="s">
        <v>12</v>
      </c>
      <c r="F272" s="2" t="s">
        <v>0</v>
      </c>
      <c r="G272" s="2" t="str">
        <f>"03"</f>
        <v>03</v>
      </c>
      <c r="H272" s="3">
        <v>637</v>
      </c>
    </row>
    <row r="273" spans="1:8" ht="57.75" x14ac:dyDescent="0.25">
      <c r="A273" s="2" t="str">
        <f>"00021199"</f>
        <v>00021199</v>
      </c>
      <c r="B273" s="2" t="str">
        <f t="shared" si="14"/>
        <v>SG</v>
      </c>
      <c r="C273" s="4" t="s">
        <v>191</v>
      </c>
      <c r="D273" s="4" t="s">
        <v>101</v>
      </c>
      <c r="E273" s="4" t="s">
        <v>192</v>
      </c>
      <c r="F273" s="2" t="s">
        <v>0</v>
      </c>
      <c r="G273" s="2" t="str">
        <f t="shared" ref="G273:G279" si="15">"07"</f>
        <v>07</v>
      </c>
      <c r="H273" s="3">
        <v>1233</v>
      </c>
    </row>
    <row r="274" spans="1:8" ht="29.25" x14ac:dyDescent="0.25">
      <c r="A274" s="2" t="str">
        <f>"00021206"</f>
        <v>00021206</v>
      </c>
      <c r="B274" s="2" t="str">
        <f t="shared" si="14"/>
        <v>SG</v>
      </c>
      <c r="C274" s="4" t="s">
        <v>193</v>
      </c>
      <c r="D274" s="4" t="s">
        <v>0</v>
      </c>
      <c r="E274" s="4" t="s">
        <v>12</v>
      </c>
      <c r="F274" s="2" t="s">
        <v>0</v>
      </c>
      <c r="G274" s="2" t="str">
        <f t="shared" si="15"/>
        <v>07</v>
      </c>
      <c r="H274" s="3">
        <v>1233</v>
      </c>
    </row>
    <row r="275" spans="1:8" ht="29.25" x14ac:dyDescent="0.25">
      <c r="A275" s="2" t="str">
        <f>"00021208"</f>
        <v>00021208</v>
      </c>
      <c r="B275" s="2" t="str">
        <f t="shared" si="14"/>
        <v>SG</v>
      </c>
      <c r="C275" s="4" t="s">
        <v>194</v>
      </c>
      <c r="D275" s="4" t="s">
        <v>101</v>
      </c>
      <c r="E275" s="4" t="s">
        <v>12</v>
      </c>
      <c r="F275" s="2" t="s">
        <v>0</v>
      </c>
      <c r="G275" s="2" t="str">
        <f t="shared" si="15"/>
        <v>07</v>
      </c>
      <c r="H275" s="3">
        <v>1233</v>
      </c>
    </row>
    <row r="276" spans="1:8" ht="29.25" x14ac:dyDescent="0.25">
      <c r="A276" s="2" t="str">
        <f>"00021209"</f>
        <v>00021209</v>
      </c>
      <c r="B276" s="2" t="str">
        <f t="shared" si="14"/>
        <v>SG</v>
      </c>
      <c r="C276" s="4" t="s">
        <v>195</v>
      </c>
      <c r="D276" s="4" t="s">
        <v>101</v>
      </c>
      <c r="E276" s="4" t="s">
        <v>12</v>
      </c>
      <c r="F276" s="2" t="s">
        <v>0</v>
      </c>
      <c r="G276" s="2" t="str">
        <f t="shared" si="15"/>
        <v>07</v>
      </c>
      <c r="H276" s="3">
        <v>1233</v>
      </c>
    </row>
    <row r="277" spans="1:8" x14ac:dyDescent="0.25">
      <c r="A277" s="2" t="str">
        <f>"00021210"</f>
        <v>00021210</v>
      </c>
      <c r="B277" s="2" t="str">
        <f t="shared" si="14"/>
        <v>SG</v>
      </c>
      <c r="C277" s="4" t="s">
        <v>196</v>
      </c>
      <c r="D277" s="4" t="s">
        <v>101</v>
      </c>
      <c r="E277" s="4" t="s">
        <v>12</v>
      </c>
      <c r="F277" s="2" t="s">
        <v>0</v>
      </c>
      <c r="G277" s="2" t="str">
        <f t="shared" si="15"/>
        <v>07</v>
      </c>
      <c r="H277" s="3">
        <v>1233</v>
      </c>
    </row>
    <row r="278" spans="1:8" x14ac:dyDescent="0.25">
      <c r="A278" s="2" t="str">
        <f>"00021215"</f>
        <v>00021215</v>
      </c>
      <c r="B278" s="2" t="str">
        <f t="shared" si="14"/>
        <v>SG</v>
      </c>
      <c r="C278" s="4" t="s">
        <v>197</v>
      </c>
      <c r="D278" s="4" t="s">
        <v>101</v>
      </c>
      <c r="E278" s="4" t="s">
        <v>12</v>
      </c>
      <c r="F278" s="2" t="s">
        <v>0</v>
      </c>
      <c r="G278" s="2" t="str">
        <f t="shared" si="15"/>
        <v>07</v>
      </c>
      <c r="H278" s="3">
        <v>1233</v>
      </c>
    </row>
    <row r="279" spans="1:8" x14ac:dyDescent="0.25">
      <c r="A279" s="2" t="str">
        <f>"00021230"</f>
        <v>00021230</v>
      </c>
      <c r="B279" s="2" t="str">
        <f t="shared" si="14"/>
        <v>SG</v>
      </c>
      <c r="C279" s="4" t="s">
        <v>198</v>
      </c>
      <c r="D279" s="4" t="s">
        <v>101</v>
      </c>
      <c r="E279" s="4" t="s">
        <v>12</v>
      </c>
      <c r="F279" s="2" t="s">
        <v>0</v>
      </c>
      <c r="G279" s="2" t="str">
        <f t="shared" si="15"/>
        <v>07</v>
      </c>
      <c r="H279" s="3">
        <v>1233</v>
      </c>
    </row>
    <row r="280" spans="1:8" x14ac:dyDescent="0.25">
      <c r="A280" s="2" t="str">
        <f>"00021235"</f>
        <v>00021235</v>
      </c>
      <c r="B280" s="2" t="str">
        <f t="shared" si="14"/>
        <v>SG</v>
      </c>
      <c r="C280" s="4" t="s">
        <v>199</v>
      </c>
      <c r="D280" s="4" t="s">
        <v>101</v>
      </c>
      <c r="E280" s="4" t="s">
        <v>12</v>
      </c>
      <c r="F280" s="2" t="s">
        <v>0</v>
      </c>
      <c r="G280" s="2" t="str">
        <f>"01"</f>
        <v>01</v>
      </c>
      <c r="H280" s="3">
        <v>413</v>
      </c>
    </row>
    <row r="281" spans="1:8" ht="29.25" x14ac:dyDescent="0.25">
      <c r="A281" s="2" t="str">
        <f>"00021240"</f>
        <v>00021240</v>
      </c>
      <c r="B281" s="2" t="str">
        <f t="shared" si="14"/>
        <v>SG</v>
      </c>
      <c r="C281" s="4" t="s">
        <v>200</v>
      </c>
      <c r="D281" s="4" t="s">
        <v>101</v>
      </c>
      <c r="E281" s="4" t="s">
        <v>12</v>
      </c>
      <c r="F281" s="2" t="s">
        <v>0</v>
      </c>
      <c r="G281" s="2" t="str">
        <f t="shared" ref="G281:G292" si="16">"07"</f>
        <v>07</v>
      </c>
      <c r="H281" s="3">
        <v>1233</v>
      </c>
    </row>
    <row r="282" spans="1:8" ht="29.25" x14ac:dyDescent="0.25">
      <c r="A282" s="2" t="str">
        <f>"00021242"</f>
        <v>00021242</v>
      </c>
      <c r="B282" s="2" t="str">
        <f t="shared" si="14"/>
        <v>SG</v>
      </c>
      <c r="C282" s="4" t="s">
        <v>200</v>
      </c>
      <c r="D282" s="4" t="s">
        <v>101</v>
      </c>
      <c r="E282" s="4" t="s">
        <v>12</v>
      </c>
      <c r="F282" s="2" t="s">
        <v>0</v>
      </c>
      <c r="G282" s="2" t="str">
        <f t="shared" si="16"/>
        <v>07</v>
      </c>
      <c r="H282" s="3">
        <v>1233</v>
      </c>
    </row>
    <row r="283" spans="1:8" ht="29.25" x14ac:dyDescent="0.25">
      <c r="A283" s="2" t="str">
        <f>"00021243"</f>
        <v>00021243</v>
      </c>
      <c r="B283" s="2" t="str">
        <f t="shared" si="14"/>
        <v>SG</v>
      </c>
      <c r="C283" s="4" t="s">
        <v>200</v>
      </c>
      <c r="D283" s="4" t="s">
        <v>0</v>
      </c>
      <c r="E283" s="4" t="s">
        <v>12</v>
      </c>
      <c r="F283" s="2" t="s">
        <v>0</v>
      </c>
      <c r="G283" s="2" t="str">
        <f t="shared" si="16"/>
        <v>07</v>
      </c>
      <c r="H283" s="3">
        <v>1233</v>
      </c>
    </row>
    <row r="284" spans="1:8" ht="29.25" x14ac:dyDescent="0.25">
      <c r="A284" s="2" t="str">
        <f>"00021244"</f>
        <v>00021244</v>
      </c>
      <c r="B284" s="2" t="str">
        <f t="shared" si="14"/>
        <v>SG</v>
      </c>
      <c r="C284" s="4" t="s">
        <v>201</v>
      </c>
      <c r="D284" s="4" t="s">
        <v>0</v>
      </c>
      <c r="E284" s="4" t="s">
        <v>12</v>
      </c>
      <c r="F284" s="2" t="s">
        <v>0</v>
      </c>
      <c r="G284" s="2" t="str">
        <f t="shared" si="16"/>
        <v>07</v>
      </c>
      <c r="H284" s="3">
        <v>1233</v>
      </c>
    </row>
    <row r="285" spans="1:8" x14ac:dyDescent="0.25">
      <c r="A285" s="2" t="str">
        <f>"00021245"</f>
        <v>00021245</v>
      </c>
      <c r="B285" s="2" t="str">
        <f t="shared" si="14"/>
        <v>SG</v>
      </c>
      <c r="C285" s="4" t="s">
        <v>202</v>
      </c>
      <c r="D285" s="4" t="s">
        <v>0</v>
      </c>
      <c r="E285" s="4" t="s">
        <v>12</v>
      </c>
      <c r="F285" s="2" t="s">
        <v>0</v>
      </c>
      <c r="G285" s="2" t="str">
        <f t="shared" si="16"/>
        <v>07</v>
      </c>
      <c r="H285" s="3">
        <v>1233</v>
      </c>
    </row>
    <row r="286" spans="1:8" x14ac:dyDescent="0.25">
      <c r="A286" s="2" t="str">
        <f>"00021246"</f>
        <v>00021246</v>
      </c>
      <c r="B286" s="2" t="str">
        <f t="shared" si="14"/>
        <v>SG</v>
      </c>
      <c r="C286" s="4" t="s">
        <v>202</v>
      </c>
      <c r="D286" s="4" t="s">
        <v>0</v>
      </c>
      <c r="E286" s="4" t="s">
        <v>12</v>
      </c>
      <c r="F286" s="2" t="s">
        <v>0</v>
      </c>
      <c r="G286" s="2" t="str">
        <f t="shared" si="16"/>
        <v>07</v>
      </c>
      <c r="H286" s="3">
        <v>1233</v>
      </c>
    </row>
    <row r="287" spans="1:8" x14ac:dyDescent="0.25">
      <c r="A287" s="2" t="str">
        <f>"00021248"</f>
        <v>00021248</v>
      </c>
      <c r="B287" s="2" t="str">
        <f t="shared" si="14"/>
        <v>SG</v>
      </c>
      <c r="C287" s="4" t="s">
        <v>202</v>
      </c>
      <c r="D287" s="4" t="s">
        <v>101</v>
      </c>
      <c r="E287" s="4" t="s">
        <v>12</v>
      </c>
      <c r="F287" s="2" t="s">
        <v>0</v>
      </c>
      <c r="G287" s="2" t="str">
        <f t="shared" si="16"/>
        <v>07</v>
      </c>
      <c r="H287" s="3">
        <v>1233</v>
      </c>
    </row>
    <row r="288" spans="1:8" x14ac:dyDescent="0.25">
      <c r="A288" s="2" t="str">
        <f>"00021249"</f>
        <v>00021249</v>
      </c>
      <c r="B288" s="2" t="str">
        <f t="shared" si="14"/>
        <v>SG</v>
      </c>
      <c r="C288" s="4" t="s">
        <v>202</v>
      </c>
      <c r="D288" s="4" t="s">
        <v>101</v>
      </c>
      <c r="E288" s="4" t="s">
        <v>12</v>
      </c>
      <c r="F288" s="2" t="s">
        <v>0</v>
      </c>
      <c r="G288" s="2" t="str">
        <f t="shared" si="16"/>
        <v>07</v>
      </c>
      <c r="H288" s="3">
        <v>1233</v>
      </c>
    </row>
    <row r="289" spans="1:8" x14ac:dyDescent="0.25">
      <c r="A289" s="2" t="str">
        <f>"00021267"</f>
        <v>00021267</v>
      </c>
      <c r="B289" s="2" t="str">
        <f t="shared" si="14"/>
        <v>SG</v>
      </c>
      <c r="C289" s="4" t="s">
        <v>203</v>
      </c>
      <c r="D289" s="4" t="s">
        <v>0</v>
      </c>
      <c r="E289" s="4" t="s">
        <v>12</v>
      </c>
      <c r="F289" s="2" t="s">
        <v>0</v>
      </c>
      <c r="G289" s="2" t="str">
        <f t="shared" si="16"/>
        <v>07</v>
      </c>
      <c r="H289" s="3">
        <v>1233</v>
      </c>
    </row>
    <row r="290" spans="1:8" ht="29.25" x14ac:dyDescent="0.25">
      <c r="A290" s="2" t="str">
        <f>"00021270"</f>
        <v>00021270</v>
      </c>
      <c r="B290" s="2" t="str">
        <f t="shared" si="14"/>
        <v>SG</v>
      </c>
      <c r="C290" s="4" t="s">
        <v>204</v>
      </c>
      <c r="D290" s="4" t="s">
        <v>0</v>
      </c>
      <c r="E290" s="4" t="s">
        <v>12</v>
      </c>
      <c r="F290" s="2" t="s">
        <v>0</v>
      </c>
      <c r="G290" s="2" t="str">
        <f t="shared" si="16"/>
        <v>07</v>
      </c>
      <c r="H290" s="3">
        <v>1233</v>
      </c>
    </row>
    <row r="291" spans="1:8" ht="29.25" x14ac:dyDescent="0.25">
      <c r="A291" s="2" t="str">
        <f>"00021275"</f>
        <v>00021275</v>
      </c>
      <c r="B291" s="2" t="str">
        <f t="shared" si="14"/>
        <v>SG</v>
      </c>
      <c r="C291" s="4" t="s">
        <v>205</v>
      </c>
      <c r="D291" s="4" t="s">
        <v>0</v>
      </c>
      <c r="E291" s="4" t="s">
        <v>12</v>
      </c>
      <c r="F291" s="2" t="s">
        <v>0</v>
      </c>
      <c r="G291" s="2" t="str">
        <f t="shared" si="16"/>
        <v>07</v>
      </c>
      <c r="H291" s="3">
        <v>1233</v>
      </c>
    </row>
    <row r="292" spans="1:8" x14ac:dyDescent="0.25">
      <c r="A292" s="2" t="str">
        <f>"00021280"</f>
        <v>00021280</v>
      </c>
      <c r="B292" s="2" t="str">
        <f t="shared" si="14"/>
        <v>SG</v>
      </c>
      <c r="C292" s="4" t="s">
        <v>206</v>
      </c>
      <c r="D292" s="4" t="s">
        <v>0</v>
      </c>
      <c r="E292" s="4" t="s">
        <v>12</v>
      </c>
      <c r="F292" s="2" t="s">
        <v>0</v>
      </c>
      <c r="G292" s="2" t="str">
        <f t="shared" si="16"/>
        <v>07</v>
      </c>
      <c r="H292" s="3">
        <v>1233</v>
      </c>
    </row>
    <row r="293" spans="1:8" x14ac:dyDescent="0.25">
      <c r="A293" s="2" t="str">
        <f>"00021282"</f>
        <v>00021282</v>
      </c>
      <c r="B293" s="2" t="str">
        <f t="shared" si="14"/>
        <v>SG</v>
      </c>
      <c r="C293" s="4" t="s">
        <v>206</v>
      </c>
      <c r="D293" s="4" t="s">
        <v>0</v>
      </c>
      <c r="E293" s="4" t="s">
        <v>12</v>
      </c>
      <c r="F293" s="2" t="s">
        <v>0</v>
      </c>
      <c r="G293" s="2" t="str">
        <f>"01"</f>
        <v>01</v>
      </c>
      <c r="H293" s="3">
        <v>413</v>
      </c>
    </row>
    <row r="294" spans="1:8" ht="29.25" x14ac:dyDescent="0.25">
      <c r="A294" s="2" t="str">
        <f>"00021295"</f>
        <v>00021295</v>
      </c>
      <c r="B294" s="2" t="str">
        <f t="shared" si="14"/>
        <v>SG</v>
      </c>
      <c r="C294" s="4" t="s">
        <v>207</v>
      </c>
      <c r="D294" s="4" t="s">
        <v>0</v>
      </c>
      <c r="E294" s="4" t="s">
        <v>12</v>
      </c>
      <c r="F294" s="2" t="s">
        <v>0</v>
      </c>
      <c r="G294" s="2" t="str">
        <f>"01"</f>
        <v>01</v>
      </c>
      <c r="H294" s="3">
        <v>413</v>
      </c>
    </row>
    <row r="295" spans="1:8" ht="29.25" x14ac:dyDescent="0.25">
      <c r="A295" s="2" t="str">
        <f>"00021296"</f>
        <v>00021296</v>
      </c>
      <c r="B295" s="2" t="str">
        <f t="shared" si="14"/>
        <v>SG</v>
      </c>
      <c r="C295" s="4" t="s">
        <v>207</v>
      </c>
      <c r="D295" s="4" t="s">
        <v>0</v>
      </c>
      <c r="E295" s="4" t="s">
        <v>12</v>
      </c>
      <c r="F295" s="2" t="s">
        <v>0</v>
      </c>
      <c r="G295" s="2" t="str">
        <f>"03"</f>
        <v>03</v>
      </c>
      <c r="H295" s="3">
        <v>637</v>
      </c>
    </row>
    <row r="296" spans="1:8" ht="29.25" x14ac:dyDescent="0.25">
      <c r="A296" s="2" t="str">
        <f>"00021315"</f>
        <v>00021315</v>
      </c>
      <c r="B296" s="2" t="str">
        <f t="shared" si="14"/>
        <v>SG</v>
      </c>
      <c r="C296" s="4" t="s">
        <v>208</v>
      </c>
      <c r="D296" s="4" t="s">
        <v>0</v>
      </c>
      <c r="E296" s="4" t="s">
        <v>12</v>
      </c>
      <c r="F296" s="2" t="s">
        <v>0</v>
      </c>
      <c r="G296" s="2" t="str">
        <f>"01"</f>
        <v>01</v>
      </c>
      <c r="H296" s="3">
        <v>413</v>
      </c>
    </row>
    <row r="297" spans="1:8" ht="29.25" x14ac:dyDescent="0.25">
      <c r="A297" s="2" t="str">
        <f>"00021320"</f>
        <v>00021320</v>
      </c>
      <c r="B297" s="2" t="str">
        <f t="shared" si="14"/>
        <v>SG</v>
      </c>
      <c r="C297" s="4" t="s">
        <v>208</v>
      </c>
      <c r="D297" s="4" t="s">
        <v>0</v>
      </c>
      <c r="E297" s="4" t="s">
        <v>12</v>
      </c>
      <c r="F297" s="2" t="s">
        <v>0</v>
      </c>
      <c r="G297" s="2" t="str">
        <f>"01"</f>
        <v>01</v>
      </c>
      <c r="H297" s="3">
        <v>413</v>
      </c>
    </row>
    <row r="298" spans="1:8" ht="29.25" x14ac:dyDescent="0.25">
      <c r="A298" s="2" t="str">
        <f>"00021325"</f>
        <v>00021325</v>
      </c>
      <c r="B298" s="2" t="str">
        <f t="shared" si="14"/>
        <v>SG</v>
      </c>
      <c r="C298" s="4" t="s">
        <v>208</v>
      </c>
      <c r="D298" s="4" t="s">
        <v>0</v>
      </c>
      <c r="E298" s="4" t="s">
        <v>12</v>
      </c>
      <c r="F298" s="2" t="s">
        <v>0</v>
      </c>
      <c r="G298" s="2" t="str">
        <f>"03"</f>
        <v>03</v>
      </c>
      <c r="H298" s="3">
        <v>637</v>
      </c>
    </row>
    <row r="299" spans="1:8" ht="29.25" x14ac:dyDescent="0.25">
      <c r="A299" s="2" t="str">
        <f>"00021330"</f>
        <v>00021330</v>
      </c>
      <c r="B299" s="2" t="str">
        <f t="shared" si="14"/>
        <v>SG</v>
      </c>
      <c r="C299" s="4" t="s">
        <v>208</v>
      </c>
      <c r="D299" s="4" t="s">
        <v>0</v>
      </c>
      <c r="E299" s="4" t="s">
        <v>12</v>
      </c>
      <c r="F299" s="2" t="s">
        <v>0</v>
      </c>
      <c r="G299" s="2" t="str">
        <f>"03"</f>
        <v>03</v>
      </c>
      <c r="H299" s="3">
        <v>637</v>
      </c>
    </row>
    <row r="300" spans="1:8" ht="29.25" x14ac:dyDescent="0.25">
      <c r="A300" s="2" t="str">
        <f>"00021335"</f>
        <v>00021335</v>
      </c>
      <c r="B300" s="2" t="str">
        <f t="shared" si="14"/>
        <v>SG</v>
      </c>
      <c r="C300" s="4" t="s">
        <v>208</v>
      </c>
      <c r="D300" s="4" t="s">
        <v>0</v>
      </c>
      <c r="E300" s="4" t="s">
        <v>12</v>
      </c>
      <c r="F300" s="2" t="s">
        <v>0</v>
      </c>
      <c r="G300" s="2" t="str">
        <f>"03"</f>
        <v>03</v>
      </c>
      <c r="H300" s="3">
        <v>637</v>
      </c>
    </row>
    <row r="301" spans="1:8" ht="29.25" x14ac:dyDescent="0.25">
      <c r="A301" s="2" t="str">
        <f>"00021336"</f>
        <v>00021336</v>
      </c>
      <c r="B301" s="2" t="str">
        <f t="shared" si="14"/>
        <v>SG</v>
      </c>
      <c r="C301" s="4" t="s">
        <v>209</v>
      </c>
      <c r="D301" s="4" t="s">
        <v>0</v>
      </c>
      <c r="E301" s="4" t="s">
        <v>12</v>
      </c>
      <c r="F301" s="2" t="s">
        <v>0</v>
      </c>
      <c r="G301" s="2" t="str">
        <f>"03"</f>
        <v>03</v>
      </c>
      <c r="H301" s="3">
        <v>637</v>
      </c>
    </row>
    <row r="302" spans="1:8" ht="29.25" x14ac:dyDescent="0.25">
      <c r="A302" s="2" t="str">
        <f>"00021337"</f>
        <v>00021337</v>
      </c>
      <c r="B302" s="2" t="str">
        <f t="shared" si="14"/>
        <v>SG</v>
      </c>
      <c r="C302" s="4" t="s">
        <v>209</v>
      </c>
      <c r="D302" s="4" t="s">
        <v>0</v>
      </c>
      <c r="E302" s="4" t="s">
        <v>12</v>
      </c>
      <c r="F302" s="2" t="s">
        <v>0</v>
      </c>
      <c r="G302" s="2" t="str">
        <f>"01"</f>
        <v>01</v>
      </c>
      <c r="H302" s="3">
        <v>413</v>
      </c>
    </row>
    <row r="303" spans="1:8" ht="29.25" x14ac:dyDescent="0.25">
      <c r="A303" s="2" t="str">
        <f>"00021338"</f>
        <v>00021338</v>
      </c>
      <c r="B303" s="2" t="str">
        <f t="shared" si="14"/>
        <v>SG</v>
      </c>
      <c r="C303" s="4" t="s">
        <v>210</v>
      </c>
      <c r="D303" s="4" t="s">
        <v>0</v>
      </c>
      <c r="E303" s="4" t="s">
        <v>12</v>
      </c>
      <c r="F303" s="2" t="s">
        <v>0</v>
      </c>
      <c r="G303" s="2" t="str">
        <f>"07"</f>
        <v>07</v>
      </c>
      <c r="H303" s="3">
        <v>1233</v>
      </c>
    </row>
    <row r="304" spans="1:8" ht="29.25" x14ac:dyDescent="0.25">
      <c r="A304" s="2" t="str">
        <f>"00021339"</f>
        <v>00021339</v>
      </c>
      <c r="B304" s="2" t="str">
        <f t="shared" si="14"/>
        <v>SG</v>
      </c>
      <c r="C304" s="4" t="s">
        <v>210</v>
      </c>
      <c r="D304" s="4" t="s">
        <v>0</v>
      </c>
      <c r="E304" s="4" t="s">
        <v>12</v>
      </c>
      <c r="F304" s="2" t="s">
        <v>0</v>
      </c>
      <c r="G304" s="2" t="str">
        <f>"01"</f>
        <v>01</v>
      </c>
      <c r="H304" s="3">
        <v>413</v>
      </c>
    </row>
    <row r="305" spans="1:8" ht="29.25" x14ac:dyDescent="0.25">
      <c r="A305" s="2" t="str">
        <f>"00021340"</f>
        <v>00021340</v>
      </c>
      <c r="B305" s="2" t="str">
        <f t="shared" si="14"/>
        <v>SG</v>
      </c>
      <c r="C305" s="4" t="s">
        <v>208</v>
      </c>
      <c r="D305" s="4" t="s">
        <v>0</v>
      </c>
      <c r="E305" s="4" t="s">
        <v>12</v>
      </c>
      <c r="F305" s="2" t="s">
        <v>0</v>
      </c>
      <c r="G305" s="2" t="str">
        <f>"01"</f>
        <v>01</v>
      </c>
      <c r="H305" s="3">
        <v>413</v>
      </c>
    </row>
    <row r="306" spans="1:8" ht="29.25" x14ac:dyDescent="0.25">
      <c r="A306" s="2" t="str">
        <f>"00021345"</f>
        <v>00021345</v>
      </c>
      <c r="B306" s="2" t="str">
        <f t="shared" si="14"/>
        <v>SG</v>
      </c>
      <c r="C306" s="4" t="s">
        <v>211</v>
      </c>
      <c r="D306" s="4" t="s">
        <v>0</v>
      </c>
      <c r="E306" s="4" t="s">
        <v>12</v>
      </c>
      <c r="F306" s="2" t="s">
        <v>0</v>
      </c>
      <c r="G306" s="2" t="str">
        <f>"03"</f>
        <v>03</v>
      </c>
      <c r="H306" s="3">
        <v>637</v>
      </c>
    </row>
    <row r="307" spans="1:8" ht="29.25" x14ac:dyDescent="0.25">
      <c r="A307" s="2" t="str">
        <f>"00021355"</f>
        <v>00021355</v>
      </c>
      <c r="B307" s="2" t="str">
        <f t="shared" si="14"/>
        <v>SG</v>
      </c>
      <c r="C307" s="4" t="s">
        <v>212</v>
      </c>
      <c r="D307" s="4" t="s">
        <v>0</v>
      </c>
      <c r="E307" s="4" t="s">
        <v>12</v>
      </c>
      <c r="F307" s="2" t="s">
        <v>0</v>
      </c>
      <c r="G307" s="2" t="str">
        <f>"07"</f>
        <v>07</v>
      </c>
      <c r="H307" s="3">
        <v>1233</v>
      </c>
    </row>
    <row r="308" spans="1:8" ht="29.25" x14ac:dyDescent="0.25">
      <c r="A308" s="2" t="str">
        <f>"00021356"</f>
        <v>00021356</v>
      </c>
      <c r="B308" s="2" t="str">
        <f t="shared" si="14"/>
        <v>SG</v>
      </c>
      <c r="C308" s="4" t="s">
        <v>212</v>
      </c>
      <c r="D308" s="4" t="s">
        <v>0</v>
      </c>
      <c r="E308" s="4" t="s">
        <v>12</v>
      </c>
      <c r="F308" s="2" t="s">
        <v>0</v>
      </c>
      <c r="G308" s="2" t="str">
        <f>"03"</f>
        <v>03</v>
      </c>
      <c r="H308" s="3">
        <v>637</v>
      </c>
    </row>
    <row r="309" spans="1:8" ht="86.25" x14ac:dyDescent="0.25">
      <c r="A309" s="2" t="str">
        <f>"00021360"</f>
        <v>00021360</v>
      </c>
      <c r="B309" s="2" t="str">
        <f t="shared" si="14"/>
        <v>SG</v>
      </c>
      <c r="C309" s="4" t="s">
        <v>213</v>
      </c>
      <c r="D309" s="4" t="s">
        <v>0</v>
      </c>
      <c r="E309" s="4" t="s">
        <v>12</v>
      </c>
      <c r="F309" s="2" t="s">
        <v>0</v>
      </c>
      <c r="G309" s="2" t="str">
        <f>"07"</f>
        <v>07</v>
      </c>
      <c r="H309" s="3">
        <v>1233</v>
      </c>
    </row>
    <row r="310" spans="1:8" ht="29.25" x14ac:dyDescent="0.25">
      <c r="A310" s="2" t="str">
        <f>"00021400"</f>
        <v>00021400</v>
      </c>
      <c r="B310" s="2" t="str">
        <f t="shared" si="14"/>
        <v>SG</v>
      </c>
      <c r="C310" s="4" t="s">
        <v>214</v>
      </c>
      <c r="D310" s="4" t="s">
        <v>0</v>
      </c>
      <c r="E310" s="4" t="s">
        <v>12</v>
      </c>
      <c r="F310" s="2" t="s">
        <v>0</v>
      </c>
      <c r="G310" s="2" t="str">
        <f>"01"</f>
        <v>01</v>
      </c>
      <c r="H310" s="3">
        <v>413</v>
      </c>
    </row>
    <row r="311" spans="1:8" ht="29.25" x14ac:dyDescent="0.25">
      <c r="A311" s="2" t="str">
        <f>"00021401"</f>
        <v>00021401</v>
      </c>
      <c r="B311" s="2" t="str">
        <f t="shared" si="14"/>
        <v>SG</v>
      </c>
      <c r="C311" s="4" t="s">
        <v>214</v>
      </c>
      <c r="D311" s="4" t="s">
        <v>0</v>
      </c>
      <c r="E311" s="4" t="s">
        <v>12</v>
      </c>
      <c r="F311" s="2" t="s">
        <v>0</v>
      </c>
      <c r="G311" s="2" t="str">
        <f>"01"</f>
        <v>01</v>
      </c>
      <c r="H311" s="3">
        <v>413</v>
      </c>
    </row>
    <row r="312" spans="1:8" ht="29.25" x14ac:dyDescent="0.25">
      <c r="A312" s="2" t="str">
        <f>"00021421"</f>
        <v>00021421</v>
      </c>
      <c r="B312" s="2" t="str">
        <f t="shared" si="14"/>
        <v>SG</v>
      </c>
      <c r="C312" s="4" t="s">
        <v>215</v>
      </c>
      <c r="D312" s="4" t="s">
        <v>0</v>
      </c>
      <c r="E312" s="4" t="s">
        <v>12</v>
      </c>
      <c r="F312" s="2" t="s">
        <v>0</v>
      </c>
      <c r="G312" s="2" t="str">
        <f>"07"</f>
        <v>07</v>
      </c>
      <c r="H312" s="3">
        <v>1233</v>
      </c>
    </row>
    <row r="313" spans="1:8" ht="72" x14ac:dyDescent="0.25">
      <c r="A313" s="2" t="str">
        <f>"00021440"</f>
        <v>00021440</v>
      </c>
      <c r="B313" s="2" t="str">
        <f t="shared" si="14"/>
        <v>SG</v>
      </c>
      <c r="C313" s="4" t="s">
        <v>216</v>
      </c>
      <c r="D313" s="4" t="s">
        <v>0</v>
      </c>
      <c r="E313" s="4" t="s">
        <v>12</v>
      </c>
      <c r="F313" s="2" t="s">
        <v>0</v>
      </c>
      <c r="G313" s="2" t="str">
        <f>"01"</f>
        <v>01</v>
      </c>
      <c r="H313" s="3">
        <v>413</v>
      </c>
    </row>
    <row r="314" spans="1:8" ht="29.25" x14ac:dyDescent="0.25">
      <c r="A314" s="2" t="str">
        <f>"00021445"</f>
        <v>00021445</v>
      </c>
      <c r="B314" s="2" t="str">
        <f t="shared" si="14"/>
        <v>SG</v>
      </c>
      <c r="C314" s="4" t="s">
        <v>217</v>
      </c>
      <c r="D314" s="4" t="s">
        <v>0</v>
      </c>
      <c r="E314" s="4" t="s">
        <v>12</v>
      </c>
      <c r="F314" s="2" t="s">
        <v>0</v>
      </c>
      <c r="G314" s="2" t="str">
        <f>"07"</f>
        <v>07</v>
      </c>
      <c r="H314" s="3">
        <v>1233</v>
      </c>
    </row>
    <row r="315" spans="1:8" ht="29.25" x14ac:dyDescent="0.25">
      <c r="A315" s="2" t="str">
        <f>"00021450"</f>
        <v>00021450</v>
      </c>
      <c r="B315" s="2" t="str">
        <f t="shared" si="14"/>
        <v>SG</v>
      </c>
      <c r="C315" s="4" t="s">
        <v>218</v>
      </c>
      <c r="D315" s="4" t="s">
        <v>0</v>
      </c>
      <c r="E315" s="4" t="s">
        <v>12</v>
      </c>
      <c r="F315" s="2" t="s">
        <v>0</v>
      </c>
      <c r="G315" s="2" t="str">
        <f>"01"</f>
        <v>01</v>
      </c>
      <c r="H315" s="3">
        <v>413</v>
      </c>
    </row>
    <row r="316" spans="1:8" ht="29.25" x14ac:dyDescent="0.25">
      <c r="A316" s="2" t="str">
        <f>"00021451"</f>
        <v>00021451</v>
      </c>
      <c r="B316" s="2" t="str">
        <f t="shared" si="14"/>
        <v>SG</v>
      </c>
      <c r="C316" s="4" t="s">
        <v>218</v>
      </c>
      <c r="D316" s="4" t="s">
        <v>0</v>
      </c>
      <c r="E316" s="4" t="s">
        <v>12</v>
      </c>
      <c r="F316" s="2" t="s">
        <v>0</v>
      </c>
      <c r="G316" s="2" t="str">
        <f>"01"</f>
        <v>01</v>
      </c>
      <c r="H316" s="3">
        <v>413</v>
      </c>
    </row>
    <row r="317" spans="1:8" ht="29.25" x14ac:dyDescent="0.25">
      <c r="A317" s="2" t="str">
        <f>"00021452"</f>
        <v>00021452</v>
      </c>
      <c r="B317" s="2" t="str">
        <f t="shared" si="14"/>
        <v>SG</v>
      </c>
      <c r="C317" s="4" t="s">
        <v>218</v>
      </c>
      <c r="D317" s="4" t="s">
        <v>0</v>
      </c>
      <c r="E317" s="4" t="s">
        <v>12</v>
      </c>
      <c r="F317" s="2" t="s">
        <v>0</v>
      </c>
      <c r="G317" s="2" t="str">
        <f>"01"</f>
        <v>01</v>
      </c>
      <c r="H317" s="3">
        <v>413</v>
      </c>
    </row>
    <row r="318" spans="1:8" ht="29.25" x14ac:dyDescent="0.25">
      <c r="A318" s="2" t="str">
        <f>"00021453"</f>
        <v>00021453</v>
      </c>
      <c r="B318" s="2" t="str">
        <f t="shared" si="14"/>
        <v>SG</v>
      </c>
      <c r="C318" s="4" t="s">
        <v>218</v>
      </c>
      <c r="D318" s="4" t="s">
        <v>0</v>
      </c>
      <c r="E318" s="4" t="s">
        <v>12</v>
      </c>
      <c r="F318" s="2" t="s">
        <v>0</v>
      </c>
      <c r="G318" s="2" t="str">
        <f>"07"</f>
        <v>07</v>
      </c>
      <c r="H318" s="3">
        <v>1233</v>
      </c>
    </row>
    <row r="319" spans="1:8" ht="29.25" x14ac:dyDescent="0.25">
      <c r="A319" s="2" t="str">
        <f>"00021454"</f>
        <v>00021454</v>
      </c>
      <c r="B319" s="2" t="str">
        <f t="shared" si="14"/>
        <v>SG</v>
      </c>
      <c r="C319" s="4" t="s">
        <v>218</v>
      </c>
      <c r="D319" s="4" t="s">
        <v>0</v>
      </c>
      <c r="E319" s="4" t="s">
        <v>12</v>
      </c>
      <c r="F319" s="2" t="s">
        <v>0</v>
      </c>
      <c r="G319" s="2" t="str">
        <f>"07"</f>
        <v>07</v>
      </c>
      <c r="H319" s="3">
        <v>1233</v>
      </c>
    </row>
    <row r="320" spans="1:8" ht="29.25" x14ac:dyDescent="0.25">
      <c r="A320" s="2" t="str">
        <f>"00021461"</f>
        <v>00021461</v>
      </c>
      <c r="B320" s="2" t="str">
        <f t="shared" si="14"/>
        <v>SG</v>
      </c>
      <c r="C320" s="4" t="s">
        <v>218</v>
      </c>
      <c r="D320" s="4" t="s">
        <v>0</v>
      </c>
      <c r="E320" s="4" t="s">
        <v>12</v>
      </c>
      <c r="F320" s="2" t="s">
        <v>0</v>
      </c>
      <c r="G320" s="2" t="str">
        <f>"07"</f>
        <v>07</v>
      </c>
      <c r="H320" s="3">
        <v>1233</v>
      </c>
    </row>
    <row r="321" spans="1:8" ht="29.25" x14ac:dyDescent="0.25">
      <c r="A321" s="2" t="str">
        <f>"00021462"</f>
        <v>00021462</v>
      </c>
      <c r="B321" s="2" t="str">
        <f t="shared" si="14"/>
        <v>SG</v>
      </c>
      <c r="C321" s="4" t="s">
        <v>218</v>
      </c>
      <c r="D321" s="4" t="s">
        <v>0</v>
      </c>
      <c r="E321" s="4" t="s">
        <v>12</v>
      </c>
      <c r="F321" s="2" t="s">
        <v>0</v>
      </c>
      <c r="G321" s="2" t="str">
        <f>"07"</f>
        <v>07</v>
      </c>
      <c r="H321" s="3">
        <v>1233</v>
      </c>
    </row>
    <row r="322" spans="1:8" ht="29.25" x14ac:dyDescent="0.25">
      <c r="A322" s="2" t="str">
        <f>"00021465"</f>
        <v>00021465</v>
      </c>
      <c r="B322" s="2" t="str">
        <f t="shared" si="14"/>
        <v>SG</v>
      </c>
      <c r="C322" s="4" t="s">
        <v>218</v>
      </c>
      <c r="D322" s="4" t="s">
        <v>0</v>
      </c>
      <c r="E322" s="4" t="s">
        <v>12</v>
      </c>
      <c r="F322" s="2" t="s">
        <v>0</v>
      </c>
      <c r="G322" s="2" t="str">
        <f>"07"</f>
        <v>07</v>
      </c>
      <c r="H322" s="3">
        <v>1233</v>
      </c>
    </row>
    <row r="323" spans="1:8" x14ac:dyDescent="0.25">
      <c r="A323" s="2" t="str">
        <f>"00021480"</f>
        <v>00021480</v>
      </c>
      <c r="B323" s="2" t="str">
        <f t="shared" si="14"/>
        <v>SG</v>
      </c>
      <c r="C323" s="4" t="s">
        <v>219</v>
      </c>
      <c r="D323" s="4" t="s">
        <v>0</v>
      </c>
      <c r="E323" s="4" t="s">
        <v>12</v>
      </c>
      <c r="F323" s="2" t="s">
        <v>0</v>
      </c>
      <c r="G323" s="2" t="str">
        <f>"01"</f>
        <v>01</v>
      </c>
      <c r="H323" s="3">
        <v>413</v>
      </c>
    </row>
    <row r="324" spans="1:8" x14ac:dyDescent="0.25">
      <c r="A324" s="2" t="str">
        <f>"00021485"</f>
        <v>00021485</v>
      </c>
      <c r="B324" s="2" t="str">
        <f t="shared" si="14"/>
        <v>SG</v>
      </c>
      <c r="C324" s="4" t="s">
        <v>219</v>
      </c>
      <c r="D324" s="4" t="s">
        <v>0</v>
      </c>
      <c r="E324" s="4" t="s">
        <v>12</v>
      </c>
      <c r="F324" s="2" t="s">
        <v>0</v>
      </c>
      <c r="G324" s="2" t="str">
        <f>"03"</f>
        <v>03</v>
      </c>
      <c r="H324" s="3">
        <v>637</v>
      </c>
    </row>
    <row r="325" spans="1:8" x14ac:dyDescent="0.25">
      <c r="A325" s="2" t="str">
        <f>"00021490"</f>
        <v>00021490</v>
      </c>
      <c r="B325" s="2" t="str">
        <f t="shared" si="14"/>
        <v>SG</v>
      </c>
      <c r="C325" s="4" t="s">
        <v>220</v>
      </c>
      <c r="D325" s="4" t="s">
        <v>0</v>
      </c>
      <c r="E325" s="4" t="s">
        <v>12</v>
      </c>
      <c r="F325" s="2" t="s">
        <v>0</v>
      </c>
      <c r="G325" s="2" t="str">
        <f>"07"</f>
        <v>07</v>
      </c>
      <c r="H325" s="3">
        <v>1233</v>
      </c>
    </row>
    <row r="326" spans="1:8" x14ac:dyDescent="0.25">
      <c r="A326" s="2" t="str">
        <f>"00021497"</f>
        <v>00021497</v>
      </c>
      <c r="B326" s="2" t="str">
        <f t="shared" si="14"/>
        <v>SG</v>
      </c>
      <c r="C326" s="4" t="s">
        <v>221</v>
      </c>
      <c r="D326" s="4" t="s">
        <v>0</v>
      </c>
      <c r="E326" s="4" t="s">
        <v>12</v>
      </c>
      <c r="F326" s="2" t="s">
        <v>0</v>
      </c>
      <c r="G326" s="2" t="str">
        <f>"01"</f>
        <v>01</v>
      </c>
      <c r="H326" s="3">
        <v>413</v>
      </c>
    </row>
    <row r="327" spans="1:8" x14ac:dyDescent="0.25">
      <c r="A327" s="2" t="str">
        <f>"00021501"</f>
        <v>00021501</v>
      </c>
      <c r="B327" s="2" t="str">
        <f t="shared" si="14"/>
        <v>SG</v>
      </c>
      <c r="C327" s="4" t="s">
        <v>222</v>
      </c>
      <c r="D327" s="4" t="s">
        <v>0</v>
      </c>
      <c r="E327" s="4" t="s">
        <v>12</v>
      </c>
      <c r="F327" s="2" t="s">
        <v>0</v>
      </c>
      <c r="G327" s="2" t="str">
        <f>"02"</f>
        <v>02</v>
      </c>
      <c r="H327" s="3">
        <v>552</v>
      </c>
    </row>
    <row r="328" spans="1:8" x14ac:dyDescent="0.25">
      <c r="A328" s="2" t="str">
        <f>"00021502"</f>
        <v>00021502</v>
      </c>
      <c r="B328" s="2" t="str">
        <f t="shared" si="14"/>
        <v>SG</v>
      </c>
      <c r="C328" s="4" t="s">
        <v>223</v>
      </c>
      <c r="D328" s="4" t="s">
        <v>0</v>
      </c>
      <c r="E328" s="4" t="s">
        <v>12</v>
      </c>
      <c r="F328" s="2" t="s">
        <v>0</v>
      </c>
      <c r="G328" s="2" t="str">
        <f>"02"</f>
        <v>02</v>
      </c>
      <c r="H328" s="3">
        <v>552</v>
      </c>
    </row>
    <row r="329" spans="1:8" ht="29.25" x14ac:dyDescent="0.25">
      <c r="A329" s="2" t="str">
        <f>"00021550"</f>
        <v>00021550</v>
      </c>
      <c r="B329" s="2" t="str">
        <f t="shared" si="14"/>
        <v>SG</v>
      </c>
      <c r="C329" s="4" t="s">
        <v>224</v>
      </c>
      <c r="D329" s="4" t="s">
        <v>0</v>
      </c>
      <c r="E329" s="4" t="s">
        <v>12</v>
      </c>
      <c r="F329" s="2" t="s">
        <v>0</v>
      </c>
      <c r="G329" s="2" t="str">
        <f>"01"</f>
        <v>01</v>
      </c>
      <c r="H329" s="3">
        <v>413</v>
      </c>
    </row>
    <row r="330" spans="1:8" ht="29.25" x14ac:dyDescent="0.25">
      <c r="A330" s="2" t="str">
        <f>"00021552"</f>
        <v>00021552</v>
      </c>
      <c r="B330" s="2" t="str">
        <f t="shared" si="14"/>
        <v>SG</v>
      </c>
      <c r="C330" s="4" t="s">
        <v>225</v>
      </c>
      <c r="D330" s="4" t="s">
        <v>0</v>
      </c>
      <c r="E330" s="4" t="s">
        <v>12</v>
      </c>
      <c r="F330" s="2" t="s">
        <v>0</v>
      </c>
      <c r="G330" s="2" t="str">
        <f>"04"</f>
        <v>04</v>
      </c>
      <c r="H330" s="3">
        <v>785</v>
      </c>
    </row>
    <row r="331" spans="1:8" ht="29.25" x14ac:dyDescent="0.25">
      <c r="A331" s="2" t="str">
        <f>"00021554"</f>
        <v>00021554</v>
      </c>
      <c r="B331" s="2" t="str">
        <f t="shared" si="14"/>
        <v>SG</v>
      </c>
      <c r="C331" s="4" t="s">
        <v>226</v>
      </c>
      <c r="D331" s="4" t="s">
        <v>0</v>
      </c>
      <c r="E331" s="4" t="s">
        <v>12</v>
      </c>
      <c r="F331" s="2" t="s">
        <v>0</v>
      </c>
      <c r="G331" s="2" t="str">
        <f>"04"</f>
        <v>04</v>
      </c>
      <c r="H331" s="3">
        <v>785</v>
      </c>
    </row>
    <row r="332" spans="1:8" ht="29.25" x14ac:dyDescent="0.25">
      <c r="A332" s="2" t="str">
        <f>"00021555"</f>
        <v>00021555</v>
      </c>
      <c r="B332" s="2" t="str">
        <f t="shared" si="14"/>
        <v>SG</v>
      </c>
      <c r="C332" s="4" t="s">
        <v>227</v>
      </c>
      <c r="D332" s="4" t="s">
        <v>0</v>
      </c>
      <c r="E332" s="4" t="s">
        <v>12</v>
      </c>
      <c r="F332" s="2" t="s">
        <v>0</v>
      </c>
      <c r="G332" s="2" t="str">
        <f>"01"</f>
        <v>01</v>
      </c>
      <c r="H332" s="3">
        <v>413</v>
      </c>
    </row>
    <row r="333" spans="1:8" ht="29.25" x14ac:dyDescent="0.25">
      <c r="A333" s="2" t="str">
        <f>"00021556"</f>
        <v>00021556</v>
      </c>
      <c r="B333" s="2" t="str">
        <f t="shared" ref="B333:B396" si="17">"SG"</f>
        <v>SG</v>
      </c>
      <c r="C333" s="4" t="s">
        <v>227</v>
      </c>
      <c r="D333" s="4" t="s">
        <v>0</v>
      </c>
      <c r="E333" s="4" t="s">
        <v>12</v>
      </c>
      <c r="F333" s="2" t="s">
        <v>0</v>
      </c>
      <c r="G333" s="2" t="str">
        <f>"04"</f>
        <v>04</v>
      </c>
      <c r="H333" s="3">
        <v>785</v>
      </c>
    </row>
    <row r="334" spans="1:8" ht="43.5" x14ac:dyDescent="0.25">
      <c r="A334" s="2" t="str">
        <f>"00021557"</f>
        <v>00021557</v>
      </c>
      <c r="B334" s="2" t="str">
        <f t="shared" si="17"/>
        <v>SG</v>
      </c>
      <c r="C334" s="4" t="s">
        <v>228</v>
      </c>
      <c r="D334" s="4" t="s">
        <v>0</v>
      </c>
      <c r="E334" s="4" t="s">
        <v>12</v>
      </c>
      <c r="F334" s="2" t="s">
        <v>0</v>
      </c>
      <c r="G334" s="2" t="str">
        <f>"01"</f>
        <v>01</v>
      </c>
      <c r="H334" s="3">
        <v>413</v>
      </c>
    </row>
    <row r="335" spans="1:8" ht="29.25" x14ac:dyDescent="0.25">
      <c r="A335" s="2" t="str">
        <f>"00021558"</f>
        <v>00021558</v>
      </c>
      <c r="B335" s="2" t="str">
        <f t="shared" si="17"/>
        <v>SG</v>
      </c>
      <c r="C335" s="4" t="s">
        <v>229</v>
      </c>
      <c r="D335" s="4" t="s">
        <v>0</v>
      </c>
      <c r="E335" s="4" t="s">
        <v>12</v>
      </c>
      <c r="F335" s="2" t="s">
        <v>0</v>
      </c>
      <c r="G335" s="2" t="str">
        <f>"04"</f>
        <v>04</v>
      </c>
      <c r="H335" s="3">
        <v>785</v>
      </c>
    </row>
    <row r="336" spans="1:8" x14ac:dyDescent="0.25">
      <c r="A336" s="2" t="str">
        <f>"00021600"</f>
        <v>00021600</v>
      </c>
      <c r="B336" s="2" t="str">
        <f t="shared" si="17"/>
        <v>SG</v>
      </c>
      <c r="C336" s="4" t="s">
        <v>230</v>
      </c>
      <c r="D336" s="4" t="s">
        <v>0</v>
      </c>
      <c r="E336" s="4" t="s">
        <v>12</v>
      </c>
      <c r="F336" s="2" t="s">
        <v>0</v>
      </c>
      <c r="G336" s="2" t="str">
        <f>"04"</f>
        <v>04</v>
      </c>
      <c r="H336" s="3">
        <v>785</v>
      </c>
    </row>
    <row r="337" spans="1:8" x14ac:dyDescent="0.25">
      <c r="A337" s="2" t="str">
        <f>"00021610"</f>
        <v>00021610</v>
      </c>
      <c r="B337" s="2" t="str">
        <f t="shared" si="17"/>
        <v>SG</v>
      </c>
      <c r="C337" s="4" t="s">
        <v>230</v>
      </c>
      <c r="D337" s="4" t="s">
        <v>0</v>
      </c>
      <c r="E337" s="4" t="s">
        <v>12</v>
      </c>
      <c r="F337" s="2" t="s">
        <v>0</v>
      </c>
      <c r="G337" s="2" t="str">
        <f>"04"</f>
        <v>04</v>
      </c>
      <c r="H337" s="3">
        <v>785</v>
      </c>
    </row>
    <row r="338" spans="1:8" ht="29.25" x14ac:dyDescent="0.25">
      <c r="A338" s="2" t="str">
        <f>"00021685"</f>
        <v>00021685</v>
      </c>
      <c r="B338" s="2" t="str">
        <f t="shared" si="17"/>
        <v>SG</v>
      </c>
      <c r="C338" s="4" t="s">
        <v>231</v>
      </c>
      <c r="D338" s="4" t="s">
        <v>0</v>
      </c>
      <c r="E338" s="4" t="s">
        <v>12</v>
      </c>
      <c r="F338" s="2" t="s">
        <v>0</v>
      </c>
      <c r="G338" s="2" t="str">
        <f>"03"</f>
        <v>03</v>
      </c>
      <c r="H338" s="3">
        <v>637</v>
      </c>
    </row>
    <row r="339" spans="1:8" x14ac:dyDescent="0.25">
      <c r="A339" s="2" t="str">
        <f>"00021700"</f>
        <v>00021700</v>
      </c>
      <c r="B339" s="2" t="str">
        <f t="shared" si="17"/>
        <v>SG</v>
      </c>
      <c r="C339" s="4" t="s">
        <v>232</v>
      </c>
      <c r="D339" s="4" t="s">
        <v>0</v>
      </c>
      <c r="E339" s="4" t="s">
        <v>12</v>
      </c>
      <c r="F339" s="2" t="s">
        <v>0</v>
      </c>
      <c r="G339" s="2" t="str">
        <f>"02"</f>
        <v>02</v>
      </c>
      <c r="H339" s="3">
        <v>552</v>
      </c>
    </row>
    <row r="340" spans="1:8" x14ac:dyDescent="0.25">
      <c r="A340" s="2" t="str">
        <f>"00021720"</f>
        <v>00021720</v>
      </c>
      <c r="B340" s="2" t="str">
        <f t="shared" si="17"/>
        <v>SG</v>
      </c>
      <c r="C340" s="4" t="s">
        <v>232</v>
      </c>
      <c r="D340" s="4" t="s">
        <v>0</v>
      </c>
      <c r="E340" s="4" t="s">
        <v>12</v>
      </c>
      <c r="F340" s="2" t="s">
        <v>0</v>
      </c>
      <c r="G340" s="2" t="str">
        <f>"02"</f>
        <v>02</v>
      </c>
      <c r="H340" s="3">
        <v>552</v>
      </c>
    </row>
    <row r="341" spans="1:8" x14ac:dyDescent="0.25">
      <c r="A341" s="2" t="str">
        <f>"00021725"</f>
        <v>00021725</v>
      </c>
      <c r="B341" s="2" t="str">
        <f t="shared" si="17"/>
        <v>SG</v>
      </c>
      <c r="C341" s="4" t="s">
        <v>232</v>
      </c>
      <c r="D341" s="4" t="s">
        <v>0</v>
      </c>
      <c r="E341" s="4" t="s">
        <v>12</v>
      </c>
      <c r="F341" s="2" t="s">
        <v>0</v>
      </c>
      <c r="G341" s="2" t="str">
        <f>"01"</f>
        <v>01</v>
      </c>
      <c r="H341" s="3">
        <v>413</v>
      </c>
    </row>
    <row r="342" spans="1:8" ht="29.25" x14ac:dyDescent="0.25">
      <c r="A342" s="2" t="str">
        <f>"00021820"</f>
        <v>00021820</v>
      </c>
      <c r="B342" s="2" t="str">
        <f t="shared" si="17"/>
        <v>SG</v>
      </c>
      <c r="C342" s="4" t="s">
        <v>233</v>
      </c>
      <c r="D342" s="4" t="s">
        <v>0</v>
      </c>
      <c r="E342" s="4" t="s">
        <v>12</v>
      </c>
      <c r="F342" s="2" t="s">
        <v>0</v>
      </c>
      <c r="G342" s="2" t="str">
        <f>"01"</f>
        <v>01</v>
      </c>
      <c r="H342" s="3">
        <v>413</v>
      </c>
    </row>
    <row r="343" spans="1:8" ht="43.5" x14ac:dyDescent="0.25">
      <c r="A343" s="2" t="str">
        <f>"00021920"</f>
        <v>00021920</v>
      </c>
      <c r="B343" s="2" t="str">
        <f t="shared" si="17"/>
        <v>SG</v>
      </c>
      <c r="C343" s="4" t="s">
        <v>234</v>
      </c>
      <c r="D343" s="4" t="s">
        <v>0</v>
      </c>
      <c r="E343" s="4" t="s">
        <v>12</v>
      </c>
      <c r="F343" s="2" t="s">
        <v>0</v>
      </c>
      <c r="G343" s="2" t="str">
        <f>"01"</f>
        <v>01</v>
      </c>
      <c r="H343" s="3">
        <v>413</v>
      </c>
    </row>
    <row r="344" spans="1:8" ht="29.25" x14ac:dyDescent="0.25">
      <c r="A344" s="2" t="str">
        <f>"00021925"</f>
        <v>00021925</v>
      </c>
      <c r="B344" s="2" t="str">
        <f t="shared" si="17"/>
        <v>SG</v>
      </c>
      <c r="C344" s="4" t="s">
        <v>235</v>
      </c>
      <c r="D344" s="4" t="s">
        <v>0</v>
      </c>
      <c r="E344" s="4" t="s">
        <v>12</v>
      </c>
      <c r="F344" s="2" t="s">
        <v>0</v>
      </c>
      <c r="G344" s="2" t="str">
        <f>"02"</f>
        <v>02</v>
      </c>
      <c r="H344" s="3">
        <v>552</v>
      </c>
    </row>
    <row r="345" spans="1:8" ht="29.25" x14ac:dyDescent="0.25">
      <c r="A345" s="2" t="str">
        <f>"00021930"</f>
        <v>00021930</v>
      </c>
      <c r="B345" s="2" t="str">
        <f t="shared" si="17"/>
        <v>SG</v>
      </c>
      <c r="C345" s="4" t="s">
        <v>236</v>
      </c>
      <c r="D345" s="4" t="s">
        <v>0</v>
      </c>
      <c r="E345" s="4" t="s">
        <v>12</v>
      </c>
      <c r="F345" s="2" t="s">
        <v>0</v>
      </c>
      <c r="G345" s="2" t="str">
        <f>"01"</f>
        <v>01</v>
      </c>
      <c r="H345" s="3">
        <v>413</v>
      </c>
    </row>
    <row r="346" spans="1:8" ht="43.5" x14ac:dyDescent="0.25">
      <c r="A346" s="2" t="str">
        <f>"00021931"</f>
        <v>00021931</v>
      </c>
      <c r="B346" s="2" t="str">
        <f t="shared" si="17"/>
        <v>SG</v>
      </c>
      <c r="C346" s="4" t="s">
        <v>237</v>
      </c>
      <c r="D346" s="4" t="s">
        <v>0</v>
      </c>
      <c r="E346" s="4" t="s">
        <v>12</v>
      </c>
      <c r="F346" s="2" t="s">
        <v>0</v>
      </c>
      <c r="G346" s="2" t="str">
        <f>"02"</f>
        <v>02</v>
      </c>
      <c r="H346" s="3">
        <v>552</v>
      </c>
    </row>
    <row r="347" spans="1:8" ht="29.25" x14ac:dyDescent="0.25">
      <c r="A347" s="2" t="str">
        <f>"00021932"</f>
        <v>00021932</v>
      </c>
      <c r="B347" s="2" t="str">
        <f t="shared" si="17"/>
        <v>SG</v>
      </c>
      <c r="C347" s="4" t="s">
        <v>238</v>
      </c>
      <c r="D347" s="4" t="s">
        <v>0</v>
      </c>
      <c r="E347" s="4" t="s">
        <v>12</v>
      </c>
      <c r="F347" s="2" t="s">
        <v>0</v>
      </c>
      <c r="G347" s="2" t="str">
        <f>"01"</f>
        <v>01</v>
      </c>
      <c r="H347" s="3">
        <v>413</v>
      </c>
    </row>
    <row r="348" spans="1:8" ht="43.5" x14ac:dyDescent="0.25">
      <c r="A348" s="2" t="str">
        <f>"00021933"</f>
        <v>00021933</v>
      </c>
      <c r="B348" s="2" t="str">
        <f t="shared" si="17"/>
        <v>SG</v>
      </c>
      <c r="C348" s="4" t="s">
        <v>239</v>
      </c>
      <c r="D348" s="4" t="s">
        <v>0</v>
      </c>
      <c r="E348" s="4" t="s">
        <v>12</v>
      </c>
      <c r="F348" s="2" t="s">
        <v>0</v>
      </c>
      <c r="G348" s="2" t="str">
        <f>"02"</f>
        <v>02</v>
      </c>
      <c r="H348" s="3">
        <v>552</v>
      </c>
    </row>
    <row r="349" spans="1:8" x14ac:dyDescent="0.25">
      <c r="A349" s="2" t="str">
        <f>"00021935"</f>
        <v>00021935</v>
      </c>
      <c r="B349" s="2" t="str">
        <f t="shared" si="17"/>
        <v>SG</v>
      </c>
      <c r="C349" s="4" t="s">
        <v>240</v>
      </c>
      <c r="D349" s="4" t="s">
        <v>0</v>
      </c>
      <c r="E349" s="4" t="s">
        <v>12</v>
      </c>
      <c r="F349" s="2" t="s">
        <v>0</v>
      </c>
      <c r="G349" s="2" t="str">
        <f>"01"</f>
        <v>01</v>
      </c>
      <c r="H349" s="3">
        <v>413</v>
      </c>
    </row>
    <row r="350" spans="1:8" ht="29.25" x14ac:dyDescent="0.25">
      <c r="A350" s="2" t="str">
        <f>"00021936"</f>
        <v>00021936</v>
      </c>
      <c r="B350" s="2" t="str">
        <f t="shared" si="17"/>
        <v>SG</v>
      </c>
      <c r="C350" s="4" t="s">
        <v>241</v>
      </c>
      <c r="D350" s="4" t="s">
        <v>0</v>
      </c>
      <c r="E350" s="4" t="s">
        <v>12</v>
      </c>
      <c r="F350" s="2" t="s">
        <v>0</v>
      </c>
      <c r="G350" s="2" t="str">
        <f>"02"</f>
        <v>02</v>
      </c>
      <c r="H350" s="3">
        <v>552</v>
      </c>
    </row>
    <row r="351" spans="1:8" x14ac:dyDescent="0.25">
      <c r="A351" s="2" t="str">
        <f>"00022310"</f>
        <v>00022310</v>
      </c>
      <c r="B351" s="2" t="str">
        <f t="shared" si="17"/>
        <v>SG</v>
      </c>
      <c r="C351" s="4" t="s">
        <v>242</v>
      </c>
      <c r="D351" s="4" t="s">
        <v>0</v>
      </c>
      <c r="E351" s="4" t="s">
        <v>12</v>
      </c>
      <c r="F351" s="2" t="s">
        <v>0</v>
      </c>
      <c r="G351" s="2" t="str">
        <f>"01"</f>
        <v>01</v>
      </c>
      <c r="H351" s="3">
        <v>413</v>
      </c>
    </row>
    <row r="352" spans="1:8" x14ac:dyDescent="0.25">
      <c r="A352" s="2" t="str">
        <f>"00022315"</f>
        <v>00022315</v>
      </c>
      <c r="B352" s="2" t="str">
        <f t="shared" si="17"/>
        <v>SG</v>
      </c>
      <c r="C352" s="4" t="s">
        <v>242</v>
      </c>
      <c r="D352" s="4" t="s">
        <v>0</v>
      </c>
      <c r="E352" s="4" t="s">
        <v>12</v>
      </c>
      <c r="F352" s="2" t="s">
        <v>0</v>
      </c>
      <c r="G352" s="2" t="str">
        <f>"01"</f>
        <v>01</v>
      </c>
      <c r="H352" s="3">
        <v>413</v>
      </c>
    </row>
    <row r="353" spans="1:8" x14ac:dyDescent="0.25">
      <c r="A353" s="2" t="str">
        <f>"00022505"</f>
        <v>00022505</v>
      </c>
      <c r="B353" s="2" t="str">
        <f t="shared" si="17"/>
        <v>SG</v>
      </c>
      <c r="C353" s="4" t="s">
        <v>243</v>
      </c>
      <c r="D353" s="4" t="s">
        <v>0</v>
      </c>
      <c r="E353" s="4" t="s">
        <v>12</v>
      </c>
      <c r="F353" s="2" t="s">
        <v>0</v>
      </c>
      <c r="G353" s="2" t="str">
        <f>"01"</f>
        <v>01</v>
      </c>
      <c r="H353" s="3">
        <v>413</v>
      </c>
    </row>
    <row r="354" spans="1:8" ht="29.25" x14ac:dyDescent="0.25">
      <c r="A354" s="2" t="str">
        <f>"00022900"</f>
        <v>00022900</v>
      </c>
      <c r="B354" s="2" t="str">
        <f t="shared" si="17"/>
        <v>SG</v>
      </c>
      <c r="C354" s="4" t="s">
        <v>244</v>
      </c>
      <c r="D354" s="4" t="s">
        <v>0</v>
      </c>
      <c r="E354" s="4" t="s">
        <v>12</v>
      </c>
      <c r="F354" s="2" t="s">
        <v>0</v>
      </c>
      <c r="G354" s="2" t="str">
        <f>"02"</f>
        <v>02</v>
      </c>
      <c r="H354" s="3">
        <v>552</v>
      </c>
    </row>
    <row r="355" spans="1:8" ht="29.25" x14ac:dyDescent="0.25">
      <c r="A355" s="2" t="str">
        <f>"00022901"</f>
        <v>00022901</v>
      </c>
      <c r="B355" s="2" t="str">
        <f t="shared" si="17"/>
        <v>SG</v>
      </c>
      <c r="C355" s="4" t="s">
        <v>245</v>
      </c>
      <c r="D355" s="4" t="s">
        <v>0</v>
      </c>
      <c r="E355" s="4" t="s">
        <v>12</v>
      </c>
      <c r="F355" s="2" t="s">
        <v>0</v>
      </c>
      <c r="G355" s="2" t="str">
        <f>"04"</f>
        <v>04</v>
      </c>
      <c r="H355" s="3">
        <v>785</v>
      </c>
    </row>
    <row r="356" spans="1:8" ht="29.25" x14ac:dyDescent="0.25">
      <c r="A356" s="2" t="str">
        <f>"00022902"</f>
        <v>00022902</v>
      </c>
      <c r="B356" s="2" t="str">
        <f t="shared" si="17"/>
        <v>SG</v>
      </c>
      <c r="C356" s="4" t="s">
        <v>246</v>
      </c>
      <c r="D356" s="4" t="s">
        <v>0</v>
      </c>
      <c r="E356" s="4" t="s">
        <v>12</v>
      </c>
      <c r="F356" s="2" t="s">
        <v>0</v>
      </c>
      <c r="G356" s="2" t="str">
        <f>"01"</f>
        <v>01</v>
      </c>
      <c r="H356" s="3">
        <v>413</v>
      </c>
    </row>
    <row r="357" spans="1:8" ht="29.25" x14ac:dyDescent="0.25">
      <c r="A357" s="2" t="str">
        <f>"00022903"</f>
        <v>00022903</v>
      </c>
      <c r="B357" s="2" t="str">
        <f t="shared" si="17"/>
        <v>SG</v>
      </c>
      <c r="C357" s="4" t="s">
        <v>247</v>
      </c>
      <c r="D357" s="4" t="s">
        <v>0</v>
      </c>
      <c r="E357" s="4" t="s">
        <v>12</v>
      </c>
      <c r="F357" s="2" t="s">
        <v>0</v>
      </c>
      <c r="G357" s="2" t="str">
        <f>"04"</f>
        <v>04</v>
      </c>
      <c r="H357" s="3">
        <v>785</v>
      </c>
    </row>
    <row r="358" spans="1:8" ht="29.25" x14ac:dyDescent="0.25">
      <c r="A358" s="2" t="str">
        <f>"00022904"</f>
        <v>00022904</v>
      </c>
      <c r="B358" s="2" t="str">
        <f t="shared" si="17"/>
        <v>SG</v>
      </c>
      <c r="C358" s="4" t="s">
        <v>248</v>
      </c>
      <c r="D358" s="4" t="s">
        <v>0</v>
      </c>
      <c r="E358" s="4" t="s">
        <v>12</v>
      </c>
      <c r="F358" s="2" t="s">
        <v>0</v>
      </c>
      <c r="G358" s="2" t="str">
        <f>"01"</f>
        <v>01</v>
      </c>
      <c r="H358" s="3">
        <v>413</v>
      </c>
    </row>
    <row r="359" spans="1:8" ht="29.25" x14ac:dyDescent="0.25">
      <c r="A359" s="2" t="str">
        <f>"00022905"</f>
        <v>00022905</v>
      </c>
      <c r="B359" s="2" t="str">
        <f t="shared" si="17"/>
        <v>SG</v>
      </c>
      <c r="C359" s="4" t="s">
        <v>249</v>
      </c>
      <c r="D359" s="4" t="s">
        <v>0</v>
      </c>
      <c r="E359" s="4" t="s">
        <v>12</v>
      </c>
      <c r="F359" s="2" t="s">
        <v>0</v>
      </c>
      <c r="G359" s="2" t="str">
        <f>"04"</f>
        <v>04</v>
      </c>
      <c r="H359" s="3">
        <v>785</v>
      </c>
    </row>
    <row r="360" spans="1:8" ht="29.25" x14ac:dyDescent="0.25">
      <c r="A360" s="2" t="str">
        <f>"00023000"</f>
        <v>00023000</v>
      </c>
      <c r="B360" s="2" t="str">
        <f t="shared" si="17"/>
        <v>SG</v>
      </c>
      <c r="C360" s="4" t="s">
        <v>250</v>
      </c>
      <c r="D360" s="4" t="s">
        <v>0</v>
      </c>
      <c r="E360" s="4" t="s">
        <v>12</v>
      </c>
      <c r="F360" s="2" t="s">
        <v>0</v>
      </c>
      <c r="G360" s="2" t="str">
        <f>"01"</f>
        <v>01</v>
      </c>
      <c r="H360" s="3">
        <v>413</v>
      </c>
    </row>
    <row r="361" spans="1:8" x14ac:dyDescent="0.25">
      <c r="A361" s="2" t="str">
        <f>"00023020"</f>
        <v>00023020</v>
      </c>
      <c r="B361" s="2" t="str">
        <f t="shared" si="17"/>
        <v>SG</v>
      </c>
      <c r="C361" s="4" t="s">
        <v>251</v>
      </c>
      <c r="D361" s="4" t="s">
        <v>0</v>
      </c>
      <c r="E361" s="4" t="s">
        <v>12</v>
      </c>
      <c r="F361" s="2" t="s">
        <v>0</v>
      </c>
      <c r="G361" s="2" t="str">
        <f>"04"</f>
        <v>04</v>
      </c>
      <c r="H361" s="3">
        <v>785</v>
      </c>
    </row>
    <row r="362" spans="1:8" x14ac:dyDescent="0.25">
      <c r="A362" s="2" t="str">
        <f>"00023030"</f>
        <v>00023030</v>
      </c>
      <c r="B362" s="2" t="str">
        <f t="shared" si="17"/>
        <v>SG</v>
      </c>
      <c r="C362" s="4" t="s">
        <v>252</v>
      </c>
      <c r="D362" s="4" t="s">
        <v>0</v>
      </c>
      <c r="E362" s="4" t="s">
        <v>12</v>
      </c>
      <c r="F362" s="2" t="s">
        <v>0</v>
      </c>
      <c r="G362" s="2" t="str">
        <f>"02"</f>
        <v>02</v>
      </c>
      <c r="H362" s="3">
        <v>552</v>
      </c>
    </row>
    <row r="363" spans="1:8" x14ac:dyDescent="0.25">
      <c r="A363" s="2" t="str">
        <f>"00023031"</f>
        <v>00023031</v>
      </c>
      <c r="B363" s="2" t="str">
        <f t="shared" si="17"/>
        <v>SG</v>
      </c>
      <c r="C363" s="4" t="s">
        <v>253</v>
      </c>
      <c r="D363" s="4" t="s">
        <v>0</v>
      </c>
      <c r="E363" s="4" t="s">
        <v>12</v>
      </c>
      <c r="F363" s="2" t="s">
        <v>0</v>
      </c>
      <c r="G363" s="2" t="str">
        <f>"02"</f>
        <v>02</v>
      </c>
      <c r="H363" s="3">
        <v>552</v>
      </c>
    </row>
    <row r="364" spans="1:8" ht="29.25" x14ac:dyDescent="0.25">
      <c r="A364" s="2" t="str">
        <f>"00023035"</f>
        <v>00023035</v>
      </c>
      <c r="B364" s="2" t="str">
        <f t="shared" si="17"/>
        <v>SG</v>
      </c>
      <c r="C364" s="4" t="s">
        <v>254</v>
      </c>
      <c r="D364" s="4" t="s">
        <v>0</v>
      </c>
      <c r="E364" s="4" t="s">
        <v>12</v>
      </c>
      <c r="F364" s="2" t="s">
        <v>0</v>
      </c>
      <c r="G364" s="2" t="str">
        <f>"02"</f>
        <v>02</v>
      </c>
      <c r="H364" s="3">
        <v>552</v>
      </c>
    </row>
    <row r="365" spans="1:8" ht="29.25" x14ac:dyDescent="0.25">
      <c r="A365" s="2" t="str">
        <f>"00023040"</f>
        <v>00023040</v>
      </c>
      <c r="B365" s="2" t="str">
        <f t="shared" si="17"/>
        <v>SG</v>
      </c>
      <c r="C365" s="4" t="s">
        <v>255</v>
      </c>
      <c r="D365" s="4" t="s">
        <v>0</v>
      </c>
      <c r="E365" s="4" t="s">
        <v>12</v>
      </c>
      <c r="F365" s="2" t="s">
        <v>0</v>
      </c>
      <c r="G365" s="2" t="str">
        <f>"04"</f>
        <v>04</v>
      </c>
      <c r="H365" s="3">
        <v>785</v>
      </c>
    </row>
    <row r="366" spans="1:8" ht="29.25" x14ac:dyDescent="0.25">
      <c r="A366" s="2" t="str">
        <f>"00023044"</f>
        <v>00023044</v>
      </c>
      <c r="B366" s="2" t="str">
        <f t="shared" si="17"/>
        <v>SG</v>
      </c>
      <c r="C366" s="4" t="s">
        <v>255</v>
      </c>
      <c r="D366" s="4" t="s">
        <v>0</v>
      </c>
      <c r="E366" s="4" t="s">
        <v>12</v>
      </c>
      <c r="F366" s="2" t="s">
        <v>0</v>
      </c>
      <c r="G366" s="2" t="str">
        <f>"04"</f>
        <v>04</v>
      </c>
      <c r="H366" s="3">
        <v>785</v>
      </c>
    </row>
    <row r="367" spans="1:8" ht="29.25" x14ac:dyDescent="0.25">
      <c r="A367" s="2" t="str">
        <f>"00023066"</f>
        <v>00023066</v>
      </c>
      <c r="B367" s="2" t="str">
        <f t="shared" si="17"/>
        <v>SG</v>
      </c>
      <c r="C367" s="4" t="s">
        <v>256</v>
      </c>
      <c r="D367" s="4" t="s">
        <v>0</v>
      </c>
      <c r="E367" s="4" t="s">
        <v>12</v>
      </c>
      <c r="F367" s="2" t="s">
        <v>0</v>
      </c>
      <c r="G367" s="2" t="str">
        <f>"02"</f>
        <v>02</v>
      </c>
      <c r="H367" s="3">
        <v>552</v>
      </c>
    </row>
    <row r="368" spans="1:8" ht="29.25" x14ac:dyDescent="0.25">
      <c r="A368" s="2" t="str">
        <f>"00023071"</f>
        <v>00023071</v>
      </c>
      <c r="B368" s="2" t="str">
        <f t="shared" si="17"/>
        <v>SG</v>
      </c>
      <c r="C368" s="4" t="s">
        <v>257</v>
      </c>
      <c r="D368" s="4" t="s">
        <v>0</v>
      </c>
      <c r="E368" s="4" t="s">
        <v>12</v>
      </c>
      <c r="F368" s="2" t="s">
        <v>0</v>
      </c>
      <c r="G368" s="2" t="str">
        <f>"04"</f>
        <v>04</v>
      </c>
      <c r="H368" s="3">
        <v>785</v>
      </c>
    </row>
    <row r="369" spans="1:8" ht="29.25" x14ac:dyDescent="0.25">
      <c r="A369" s="2" t="str">
        <f>"00023073"</f>
        <v>00023073</v>
      </c>
      <c r="B369" s="2" t="str">
        <f t="shared" si="17"/>
        <v>SG</v>
      </c>
      <c r="C369" s="4" t="s">
        <v>258</v>
      </c>
      <c r="D369" s="4" t="s">
        <v>0</v>
      </c>
      <c r="E369" s="4" t="s">
        <v>12</v>
      </c>
      <c r="F369" s="2" t="s">
        <v>0</v>
      </c>
      <c r="G369" s="2" t="str">
        <f>"04"</f>
        <v>04</v>
      </c>
      <c r="H369" s="3">
        <v>785</v>
      </c>
    </row>
    <row r="370" spans="1:8" ht="29.25" x14ac:dyDescent="0.25">
      <c r="A370" s="2" t="str">
        <f>"00023075"</f>
        <v>00023075</v>
      </c>
      <c r="B370" s="2" t="str">
        <f t="shared" si="17"/>
        <v>SG</v>
      </c>
      <c r="C370" s="4" t="s">
        <v>259</v>
      </c>
      <c r="D370" s="4" t="s">
        <v>0</v>
      </c>
      <c r="E370" s="4" t="s">
        <v>12</v>
      </c>
      <c r="F370" s="2" t="s">
        <v>0</v>
      </c>
      <c r="G370" s="2" t="str">
        <f>"01"</f>
        <v>01</v>
      </c>
      <c r="H370" s="3">
        <v>413</v>
      </c>
    </row>
    <row r="371" spans="1:8" ht="29.25" x14ac:dyDescent="0.25">
      <c r="A371" s="2" t="str">
        <f>"00023076"</f>
        <v>00023076</v>
      </c>
      <c r="B371" s="2" t="str">
        <f t="shared" si="17"/>
        <v>SG</v>
      </c>
      <c r="C371" s="4" t="s">
        <v>259</v>
      </c>
      <c r="D371" s="4" t="s">
        <v>0</v>
      </c>
      <c r="E371" s="4" t="s">
        <v>12</v>
      </c>
      <c r="F371" s="2" t="s">
        <v>0</v>
      </c>
      <c r="G371" s="2" t="str">
        <f>"01"</f>
        <v>01</v>
      </c>
      <c r="H371" s="3">
        <v>413</v>
      </c>
    </row>
    <row r="372" spans="1:8" ht="29.25" x14ac:dyDescent="0.25">
      <c r="A372" s="2" t="str">
        <f>"00023077"</f>
        <v>00023077</v>
      </c>
      <c r="B372" s="2" t="str">
        <f t="shared" si="17"/>
        <v>SG</v>
      </c>
      <c r="C372" s="4" t="s">
        <v>260</v>
      </c>
      <c r="D372" s="4" t="s">
        <v>0</v>
      </c>
      <c r="E372" s="4" t="s">
        <v>12</v>
      </c>
      <c r="F372" s="2" t="s">
        <v>0</v>
      </c>
      <c r="G372" s="2" t="str">
        <f>"01"</f>
        <v>01</v>
      </c>
      <c r="H372" s="3">
        <v>413</v>
      </c>
    </row>
    <row r="373" spans="1:8" ht="43.5" x14ac:dyDescent="0.25">
      <c r="A373" s="2" t="str">
        <f>"00023078"</f>
        <v>00023078</v>
      </c>
      <c r="B373" s="2" t="str">
        <f t="shared" si="17"/>
        <v>SG</v>
      </c>
      <c r="C373" s="4" t="s">
        <v>261</v>
      </c>
      <c r="D373" s="4" t="s">
        <v>0</v>
      </c>
      <c r="E373" s="4" t="s">
        <v>12</v>
      </c>
      <c r="F373" s="2" t="s">
        <v>0</v>
      </c>
      <c r="G373" s="2" t="str">
        <f>"04"</f>
        <v>04</v>
      </c>
      <c r="H373" s="3">
        <v>785</v>
      </c>
    </row>
    <row r="374" spans="1:8" ht="29.25" x14ac:dyDescent="0.25">
      <c r="A374" s="2" t="str">
        <f>"00023100"</f>
        <v>00023100</v>
      </c>
      <c r="B374" s="2" t="str">
        <f t="shared" si="17"/>
        <v>SG</v>
      </c>
      <c r="C374" s="4" t="s">
        <v>262</v>
      </c>
      <c r="D374" s="4" t="s">
        <v>0</v>
      </c>
      <c r="E374" s="4" t="s">
        <v>12</v>
      </c>
      <c r="F374" s="2" t="s">
        <v>0</v>
      </c>
      <c r="G374" s="2" t="str">
        <f>"02"</f>
        <v>02</v>
      </c>
      <c r="H374" s="3">
        <v>552</v>
      </c>
    </row>
    <row r="375" spans="1:8" x14ac:dyDescent="0.25">
      <c r="A375" s="2" t="str">
        <f>"00023101"</f>
        <v>00023101</v>
      </c>
      <c r="B375" s="2" t="str">
        <f t="shared" si="17"/>
        <v>SG</v>
      </c>
      <c r="C375" s="4" t="s">
        <v>263</v>
      </c>
      <c r="D375" s="4" t="s">
        <v>0</v>
      </c>
      <c r="E375" s="4" t="s">
        <v>12</v>
      </c>
      <c r="F375" s="2" t="s">
        <v>0</v>
      </c>
      <c r="G375" s="2" t="str">
        <f t="shared" ref="G375:G380" si="18">"04"</f>
        <v>04</v>
      </c>
      <c r="H375" s="3">
        <v>785</v>
      </c>
    </row>
    <row r="376" spans="1:8" ht="29.25" x14ac:dyDescent="0.25">
      <c r="A376" s="2" t="str">
        <f>"00023105"</f>
        <v>00023105</v>
      </c>
      <c r="B376" s="2" t="str">
        <f t="shared" si="17"/>
        <v>SG</v>
      </c>
      <c r="C376" s="4" t="s">
        <v>264</v>
      </c>
      <c r="D376" s="4" t="s">
        <v>0</v>
      </c>
      <c r="E376" s="4" t="s">
        <v>12</v>
      </c>
      <c r="F376" s="2" t="s">
        <v>0</v>
      </c>
      <c r="G376" s="2" t="str">
        <f t="shared" si="18"/>
        <v>04</v>
      </c>
      <c r="H376" s="3">
        <v>785</v>
      </c>
    </row>
    <row r="377" spans="1:8" ht="29.25" x14ac:dyDescent="0.25">
      <c r="A377" s="2" t="str">
        <f>"00023106"</f>
        <v>00023106</v>
      </c>
      <c r="B377" s="2" t="str">
        <f t="shared" si="17"/>
        <v>SG</v>
      </c>
      <c r="C377" s="4" t="s">
        <v>265</v>
      </c>
      <c r="D377" s="4" t="s">
        <v>0</v>
      </c>
      <c r="E377" s="4" t="s">
        <v>12</v>
      </c>
      <c r="F377" s="2" t="s">
        <v>0</v>
      </c>
      <c r="G377" s="2" t="str">
        <f t="shared" si="18"/>
        <v>04</v>
      </c>
      <c r="H377" s="3">
        <v>785</v>
      </c>
    </row>
    <row r="378" spans="1:8" ht="29.25" x14ac:dyDescent="0.25">
      <c r="A378" s="2" t="str">
        <f>"00023107"</f>
        <v>00023107</v>
      </c>
      <c r="B378" s="2" t="str">
        <f t="shared" si="17"/>
        <v>SG</v>
      </c>
      <c r="C378" s="4" t="s">
        <v>266</v>
      </c>
      <c r="D378" s="4" t="s">
        <v>0</v>
      </c>
      <c r="E378" s="4" t="s">
        <v>12</v>
      </c>
      <c r="F378" s="2" t="s">
        <v>0</v>
      </c>
      <c r="G378" s="2" t="str">
        <f t="shared" si="18"/>
        <v>04</v>
      </c>
      <c r="H378" s="3">
        <v>785</v>
      </c>
    </row>
    <row r="379" spans="1:8" ht="29.25" x14ac:dyDescent="0.25">
      <c r="A379" s="2" t="str">
        <f>"00023120"</f>
        <v>00023120</v>
      </c>
      <c r="B379" s="2" t="str">
        <f t="shared" si="17"/>
        <v>SG</v>
      </c>
      <c r="C379" s="4" t="s">
        <v>267</v>
      </c>
      <c r="D379" s="4" t="s">
        <v>0</v>
      </c>
      <c r="E379" s="4" t="s">
        <v>12</v>
      </c>
      <c r="F379" s="2" t="s">
        <v>0</v>
      </c>
      <c r="G379" s="2" t="str">
        <f t="shared" si="18"/>
        <v>04</v>
      </c>
      <c r="H379" s="3">
        <v>785</v>
      </c>
    </row>
    <row r="380" spans="1:8" ht="29.25" x14ac:dyDescent="0.25">
      <c r="A380" s="2" t="str">
        <f>"00023125"</f>
        <v>00023125</v>
      </c>
      <c r="B380" s="2" t="str">
        <f t="shared" si="17"/>
        <v>SG</v>
      </c>
      <c r="C380" s="4" t="s">
        <v>268</v>
      </c>
      <c r="D380" s="4" t="s">
        <v>0</v>
      </c>
      <c r="E380" s="4" t="s">
        <v>12</v>
      </c>
      <c r="F380" s="2" t="s">
        <v>0</v>
      </c>
      <c r="G380" s="2" t="str">
        <f t="shared" si="18"/>
        <v>04</v>
      </c>
      <c r="H380" s="3">
        <v>785</v>
      </c>
    </row>
    <row r="381" spans="1:8" ht="29.25" x14ac:dyDescent="0.25">
      <c r="A381" s="2" t="str">
        <f>"00023130"</f>
        <v>00023130</v>
      </c>
      <c r="B381" s="2" t="str">
        <f t="shared" si="17"/>
        <v>SG</v>
      </c>
      <c r="C381" s="4" t="s">
        <v>269</v>
      </c>
      <c r="D381" s="4" t="s">
        <v>0</v>
      </c>
      <c r="E381" s="4" t="s">
        <v>12</v>
      </c>
      <c r="F381" s="2" t="s">
        <v>0</v>
      </c>
      <c r="G381" s="2" t="str">
        <f>"07"</f>
        <v>07</v>
      </c>
      <c r="H381" s="3">
        <v>1233</v>
      </c>
    </row>
    <row r="382" spans="1:8" x14ac:dyDescent="0.25">
      <c r="A382" s="2" t="str">
        <f>"00023140"</f>
        <v>00023140</v>
      </c>
      <c r="B382" s="2" t="str">
        <f t="shared" si="17"/>
        <v>SG</v>
      </c>
      <c r="C382" s="4" t="s">
        <v>270</v>
      </c>
      <c r="D382" s="4" t="s">
        <v>0</v>
      </c>
      <c r="E382" s="4" t="s">
        <v>12</v>
      </c>
      <c r="F382" s="2" t="s">
        <v>0</v>
      </c>
      <c r="G382" s="2" t="str">
        <f>"02"</f>
        <v>02</v>
      </c>
      <c r="H382" s="3">
        <v>552</v>
      </c>
    </row>
    <row r="383" spans="1:8" x14ac:dyDescent="0.25">
      <c r="A383" s="2" t="str">
        <f>"00023145"</f>
        <v>00023145</v>
      </c>
      <c r="B383" s="2" t="str">
        <f t="shared" si="17"/>
        <v>SG</v>
      </c>
      <c r="C383" s="4" t="s">
        <v>270</v>
      </c>
      <c r="D383" s="4" t="s">
        <v>0</v>
      </c>
      <c r="E383" s="4" t="s">
        <v>12</v>
      </c>
      <c r="F383" s="2" t="s">
        <v>0</v>
      </c>
      <c r="G383" s="2" t="str">
        <f t="shared" ref="G383:G395" si="19">"04"</f>
        <v>04</v>
      </c>
      <c r="H383" s="3">
        <v>785</v>
      </c>
    </row>
    <row r="384" spans="1:8" x14ac:dyDescent="0.25">
      <c r="A384" s="2" t="str">
        <f>"00023146"</f>
        <v>00023146</v>
      </c>
      <c r="B384" s="2" t="str">
        <f t="shared" si="17"/>
        <v>SG</v>
      </c>
      <c r="C384" s="4" t="s">
        <v>270</v>
      </c>
      <c r="D384" s="4" t="s">
        <v>0</v>
      </c>
      <c r="E384" s="4" t="s">
        <v>12</v>
      </c>
      <c r="F384" s="2" t="s">
        <v>0</v>
      </c>
      <c r="G384" s="2" t="str">
        <f t="shared" si="19"/>
        <v>04</v>
      </c>
      <c r="H384" s="3">
        <v>785</v>
      </c>
    </row>
    <row r="385" spans="1:8" ht="29.25" x14ac:dyDescent="0.25">
      <c r="A385" s="2" t="str">
        <f>"00023150"</f>
        <v>00023150</v>
      </c>
      <c r="B385" s="2" t="str">
        <f t="shared" si="17"/>
        <v>SG</v>
      </c>
      <c r="C385" s="4" t="s">
        <v>271</v>
      </c>
      <c r="D385" s="4" t="s">
        <v>0</v>
      </c>
      <c r="E385" s="4" t="s">
        <v>12</v>
      </c>
      <c r="F385" s="2" t="s">
        <v>0</v>
      </c>
      <c r="G385" s="2" t="str">
        <f t="shared" si="19"/>
        <v>04</v>
      </c>
      <c r="H385" s="3">
        <v>785</v>
      </c>
    </row>
    <row r="386" spans="1:8" ht="29.25" x14ac:dyDescent="0.25">
      <c r="A386" s="2" t="str">
        <f>"00023155"</f>
        <v>00023155</v>
      </c>
      <c r="B386" s="2" t="str">
        <f t="shared" si="17"/>
        <v>SG</v>
      </c>
      <c r="C386" s="4" t="s">
        <v>271</v>
      </c>
      <c r="D386" s="4" t="s">
        <v>0</v>
      </c>
      <c r="E386" s="4" t="s">
        <v>12</v>
      </c>
      <c r="F386" s="2" t="s">
        <v>0</v>
      </c>
      <c r="G386" s="2" t="str">
        <f t="shared" si="19"/>
        <v>04</v>
      </c>
      <c r="H386" s="3">
        <v>785</v>
      </c>
    </row>
    <row r="387" spans="1:8" ht="29.25" x14ac:dyDescent="0.25">
      <c r="A387" s="2" t="str">
        <f>"00023156"</f>
        <v>00023156</v>
      </c>
      <c r="B387" s="2" t="str">
        <f t="shared" si="17"/>
        <v>SG</v>
      </c>
      <c r="C387" s="4" t="s">
        <v>271</v>
      </c>
      <c r="D387" s="4" t="s">
        <v>0</v>
      </c>
      <c r="E387" s="4" t="s">
        <v>12</v>
      </c>
      <c r="F387" s="2" t="s">
        <v>0</v>
      </c>
      <c r="G387" s="2" t="str">
        <f t="shared" si="19"/>
        <v>04</v>
      </c>
      <c r="H387" s="3">
        <v>785</v>
      </c>
    </row>
    <row r="388" spans="1:8" ht="29.25" x14ac:dyDescent="0.25">
      <c r="A388" s="2" t="str">
        <f>"00023170"</f>
        <v>00023170</v>
      </c>
      <c r="B388" s="2" t="str">
        <f t="shared" si="17"/>
        <v>SG</v>
      </c>
      <c r="C388" s="4" t="s">
        <v>272</v>
      </c>
      <c r="D388" s="4" t="s">
        <v>0</v>
      </c>
      <c r="E388" s="4" t="s">
        <v>12</v>
      </c>
      <c r="F388" s="2" t="s">
        <v>0</v>
      </c>
      <c r="G388" s="2" t="str">
        <f t="shared" si="19"/>
        <v>04</v>
      </c>
      <c r="H388" s="3">
        <v>785</v>
      </c>
    </row>
    <row r="389" spans="1:8" ht="29.25" x14ac:dyDescent="0.25">
      <c r="A389" s="2" t="str">
        <f>"00023172"</f>
        <v>00023172</v>
      </c>
      <c r="B389" s="2" t="str">
        <f t="shared" si="17"/>
        <v>SG</v>
      </c>
      <c r="C389" s="4" t="s">
        <v>273</v>
      </c>
      <c r="D389" s="4" t="s">
        <v>0</v>
      </c>
      <c r="E389" s="4" t="s">
        <v>12</v>
      </c>
      <c r="F389" s="2" t="s">
        <v>0</v>
      </c>
      <c r="G389" s="2" t="str">
        <f t="shared" si="19"/>
        <v>04</v>
      </c>
      <c r="H389" s="3">
        <v>785</v>
      </c>
    </row>
    <row r="390" spans="1:8" x14ac:dyDescent="0.25">
      <c r="A390" s="2" t="str">
        <f>"00023174"</f>
        <v>00023174</v>
      </c>
      <c r="B390" s="2" t="str">
        <f t="shared" si="17"/>
        <v>SG</v>
      </c>
      <c r="C390" s="4" t="s">
        <v>274</v>
      </c>
      <c r="D390" s="4" t="s">
        <v>0</v>
      </c>
      <c r="E390" s="4" t="s">
        <v>12</v>
      </c>
      <c r="F390" s="2" t="s">
        <v>0</v>
      </c>
      <c r="G390" s="2" t="str">
        <f t="shared" si="19"/>
        <v>04</v>
      </c>
      <c r="H390" s="3">
        <v>785</v>
      </c>
    </row>
    <row r="391" spans="1:8" ht="29.25" x14ac:dyDescent="0.25">
      <c r="A391" s="2" t="str">
        <f>"00023180"</f>
        <v>00023180</v>
      </c>
      <c r="B391" s="2" t="str">
        <f t="shared" si="17"/>
        <v>SG</v>
      </c>
      <c r="C391" s="4" t="s">
        <v>272</v>
      </c>
      <c r="D391" s="4" t="s">
        <v>0</v>
      </c>
      <c r="E391" s="4" t="s">
        <v>12</v>
      </c>
      <c r="F391" s="2" t="s">
        <v>0</v>
      </c>
      <c r="G391" s="2" t="str">
        <f t="shared" si="19"/>
        <v>04</v>
      </c>
      <c r="H391" s="3">
        <v>785</v>
      </c>
    </row>
    <row r="392" spans="1:8" ht="29.25" x14ac:dyDescent="0.25">
      <c r="A392" s="2" t="str">
        <f>"00023182"</f>
        <v>00023182</v>
      </c>
      <c r="B392" s="2" t="str">
        <f t="shared" si="17"/>
        <v>SG</v>
      </c>
      <c r="C392" s="4" t="s">
        <v>273</v>
      </c>
      <c r="D392" s="4" t="s">
        <v>0</v>
      </c>
      <c r="E392" s="4" t="s">
        <v>12</v>
      </c>
      <c r="F392" s="2" t="s">
        <v>0</v>
      </c>
      <c r="G392" s="2" t="str">
        <f t="shared" si="19"/>
        <v>04</v>
      </c>
      <c r="H392" s="3">
        <v>785</v>
      </c>
    </row>
    <row r="393" spans="1:8" x14ac:dyDescent="0.25">
      <c r="A393" s="2" t="str">
        <f>"00023184"</f>
        <v>00023184</v>
      </c>
      <c r="B393" s="2" t="str">
        <f t="shared" si="17"/>
        <v>SG</v>
      </c>
      <c r="C393" s="4" t="s">
        <v>274</v>
      </c>
      <c r="D393" s="4" t="s">
        <v>0</v>
      </c>
      <c r="E393" s="4" t="s">
        <v>12</v>
      </c>
      <c r="F393" s="2" t="s">
        <v>0</v>
      </c>
      <c r="G393" s="2" t="str">
        <f t="shared" si="19"/>
        <v>04</v>
      </c>
      <c r="H393" s="3">
        <v>785</v>
      </c>
    </row>
    <row r="394" spans="1:8" ht="29.25" x14ac:dyDescent="0.25">
      <c r="A394" s="2" t="str">
        <f>"00023190"</f>
        <v>00023190</v>
      </c>
      <c r="B394" s="2" t="str">
        <f t="shared" si="17"/>
        <v>SG</v>
      </c>
      <c r="C394" s="4" t="s">
        <v>275</v>
      </c>
      <c r="D394" s="4" t="s">
        <v>0</v>
      </c>
      <c r="E394" s="4" t="s">
        <v>12</v>
      </c>
      <c r="F394" s="2" t="s">
        <v>0</v>
      </c>
      <c r="G394" s="2" t="str">
        <f t="shared" si="19"/>
        <v>04</v>
      </c>
      <c r="H394" s="3">
        <v>785</v>
      </c>
    </row>
    <row r="395" spans="1:8" ht="29.25" x14ac:dyDescent="0.25">
      <c r="A395" s="2" t="str">
        <f>"00023195"</f>
        <v>00023195</v>
      </c>
      <c r="B395" s="2" t="str">
        <f t="shared" si="17"/>
        <v>SG</v>
      </c>
      <c r="C395" s="4" t="s">
        <v>276</v>
      </c>
      <c r="D395" s="4" t="s">
        <v>0</v>
      </c>
      <c r="E395" s="4" t="s">
        <v>12</v>
      </c>
      <c r="F395" s="2" t="s">
        <v>0</v>
      </c>
      <c r="G395" s="2" t="str">
        <f t="shared" si="19"/>
        <v>04</v>
      </c>
      <c r="H395" s="3">
        <v>785</v>
      </c>
    </row>
    <row r="396" spans="1:8" ht="29.25" x14ac:dyDescent="0.25">
      <c r="A396" s="2" t="str">
        <f>"00023330"</f>
        <v>00023330</v>
      </c>
      <c r="B396" s="2" t="str">
        <f t="shared" si="17"/>
        <v>SG</v>
      </c>
      <c r="C396" s="4" t="s">
        <v>277</v>
      </c>
      <c r="D396" s="4" t="s">
        <v>0</v>
      </c>
      <c r="E396" s="4" t="s">
        <v>12</v>
      </c>
      <c r="F396" s="2" t="s">
        <v>0</v>
      </c>
      <c r="G396" s="2" t="str">
        <f>"01"</f>
        <v>01</v>
      </c>
      <c r="H396" s="3">
        <v>413</v>
      </c>
    </row>
    <row r="397" spans="1:8" ht="57.75" x14ac:dyDescent="0.25">
      <c r="A397" s="2" t="str">
        <f>"00023333"</f>
        <v>00023333</v>
      </c>
      <c r="B397" s="2" t="str">
        <f t="shared" ref="B397:B460" si="20">"SG"</f>
        <v>SG</v>
      </c>
      <c r="C397" s="4" t="s">
        <v>278</v>
      </c>
      <c r="D397" s="4" t="s">
        <v>0</v>
      </c>
      <c r="E397" s="4" t="s">
        <v>12</v>
      </c>
      <c r="F397" s="2" t="s">
        <v>0</v>
      </c>
      <c r="G397" s="2" t="str">
        <f>"01"</f>
        <v>01</v>
      </c>
      <c r="H397" s="3">
        <v>413</v>
      </c>
    </row>
    <row r="398" spans="1:8" ht="29.25" x14ac:dyDescent="0.25">
      <c r="A398" s="2" t="str">
        <f>"00023395"</f>
        <v>00023395</v>
      </c>
      <c r="B398" s="2" t="str">
        <f t="shared" si="20"/>
        <v>SG</v>
      </c>
      <c r="C398" s="4" t="s">
        <v>279</v>
      </c>
      <c r="D398" s="4" t="s">
        <v>0</v>
      </c>
      <c r="E398" s="4" t="s">
        <v>12</v>
      </c>
      <c r="F398" s="2" t="s">
        <v>0</v>
      </c>
      <c r="G398" s="2" t="str">
        <f>"07"</f>
        <v>07</v>
      </c>
      <c r="H398" s="3">
        <v>1233</v>
      </c>
    </row>
    <row r="399" spans="1:8" x14ac:dyDescent="0.25">
      <c r="A399" s="2" t="str">
        <f>"00023397"</f>
        <v>00023397</v>
      </c>
      <c r="B399" s="2" t="str">
        <f t="shared" si="20"/>
        <v>SG</v>
      </c>
      <c r="C399" s="4" t="s">
        <v>280</v>
      </c>
      <c r="D399" s="4" t="s">
        <v>0</v>
      </c>
      <c r="E399" s="4" t="s">
        <v>12</v>
      </c>
      <c r="F399" s="2" t="s">
        <v>0</v>
      </c>
      <c r="G399" s="2" t="str">
        <f>"07"</f>
        <v>07</v>
      </c>
      <c r="H399" s="3">
        <v>1233</v>
      </c>
    </row>
    <row r="400" spans="1:8" ht="29.25" x14ac:dyDescent="0.25">
      <c r="A400" s="2" t="str">
        <f>"00023400"</f>
        <v>00023400</v>
      </c>
      <c r="B400" s="2" t="str">
        <f t="shared" si="20"/>
        <v>SG</v>
      </c>
      <c r="C400" s="4" t="s">
        <v>281</v>
      </c>
      <c r="D400" s="4" t="s">
        <v>0</v>
      </c>
      <c r="E400" s="4" t="s">
        <v>12</v>
      </c>
      <c r="F400" s="2" t="s">
        <v>0</v>
      </c>
      <c r="G400" s="2" t="str">
        <f>"04"</f>
        <v>04</v>
      </c>
      <c r="H400" s="3">
        <v>785</v>
      </c>
    </row>
    <row r="401" spans="1:8" ht="29.25" x14ac:dyDescent="0.25">
      <c r="A401" s="2" t="str">
        <f>"00023405"</f>
        <v>00023405</v>
      </c>
      <c r="B401" s="2" t="str">
        <f t="shared" si="20"/>
        <v>SG</v>
      </c>
      <c r="C401" s="4" t="s">
        <v>282</v>
      </c>
      <c r="D401" s="4" t="s">
        <v>0</v>
      </c>
      <c r="E401" s="4" t="s">
        <v>12</v>
      </c>
      <c r="F401" s="2" t="s">
        <v>0</v>
      </c>
      <c r="G401" s="2" t="str">
        <f>"04"</f>
        <v>04</v>
      </c>
      <c r="H401" s="3">
        <v>785</v>
      </c>
    </row>
    <row r="402" spans="1:8" ht="29.25" x14ac:dyDescent="0.25">
      <c r="A402" s="2" t="str">
        <f>"00023406"</f>
        <v>00023406</v>
      </c>
      <c r="B402" s="2" t="str">
        <f t="shared" si="20"/>
        <v>SG</v>
      </c>
      <c r="C402" s="4" t="s">
        <v>283</v>
      </c>
      <c r="D402" s="4" t="s">
        <v>0</v>
      </c>
      <c r="E402" s="4" t="s">
        <v>12</v>
      </c>
      <c r="F402" s="2" t="s">
        <v>0</v>
      </c>
      <c r="G402" s="2" t="str">
        <f>"04"</f>
        <v>04</v>
      </c>
      <c r="H402" s="3">
        <v>785</v>
      </c>
    </row>
    <row r="403" spans="1:8" ht="29.25" x14ac:dyDescent="0.25">
      <c r="A403" s="2" t="str">
        <f>"00023410"</f>
        <v>00023410</v>
      </c>
      <c r="B403" s="2" t="str">
        <f t="shared" si="20"/>
        <v>SG</v>
      </c>
      <c r="C403" s="4" t="s">
        <v>284</v>
      </c>
      <c r="D403" s="4" t="s">
        <v>0</v>
      </c>
      <c r="E403" s="4" t="s">
        <v>12</v>
      </c>
      <c r="F403" s="2" t="s">
        <v>0</v>
      </c>
      <c r="G403" s="2" t="str">
        <f>"07"</f>
        <v>07</v>
      </c>
      <c r="H403" s="3">
        <v>1233</v>
      </c>
    </row>
    <row r="404" spans="1:8" ht="29.25" x14ac:dyDescent="0.25">
      <c r="A404" s="2" t="str">
        <f>"00023412"</f>
        <v>00023412</v>
      </c>
      <c r="B404" s="2" t="str">
        <f t="shared" si="20"/>
        <v>SG</v>
      </c>
      <c r="C404" s="4" t="s">
        <v>285</v>
      </c>
      <c r="D404" s="4" t="s">
        <v>0</v>
      </c>
      <c r="E404" s="4" t="s">
        <v>12</v>
      </c>
      <c r="F404" s="2" t="s">
        <v>0</v>
      </c>
      <c r="G404" s="2" t="str">
        <f>"07"</f>
        <v>07</v>
      </c>
      <c r="H404" s="3">
        <v>1233</v>
      </c>
    </row>
    <row r="405" spans="1:8" ht="29.25" x14ac:dyDescent="0.25">
      <c r="A405" s="2" t="str">
        <f>"00023415"</f>
        <v>00023415</v>
      </c>
      <c r="B405" s="2" t="str">
        <f t="shared" si="20"/>
        <v>SG</v>
      </c>
      <c r="C405" s="4" t="s">
        <v>286</v>
      </c>
      <c r="D405" s="4" t="s">
        <v>0</v>
      </c>
      <c r="E405" s="4" t="s">
        <v>12</v>
      </c>
      <c r="F405" s="2" t="s">
        <v>0</v>
      </c>
      <c r="G405" s="2" t="str">
        <f>"07"</f>
        <v>07</v>
      </c>
      <c r="H405" s="3">
        <v>1233</v>
      </c>
    </row>
    <row r="406" spans="1:8" x14ac:dyDescent="0.25">
      <c r="A406" s="2" t="str">
        <f>"00023420"</f>
        <v>00023420</v>
      </c>
      <c r="B406" s="2" t="str">
        <f t="shared" si="20"/>
        <v>SG</v>
      </c>
      <c r="C406" s="4" t="s">
        <v>287</v>
      </c>
      <c r="D406" s="4" t="s">
        <v>0</v>
      </c>
      <c r="E406" s="4" t="s">
        <v>12</v>
      </c>
      <c r="F406" s="2" t="s">
        <v>0</v>
      </c>
      <c r="G406" s="2" t="str">
        <f>"07"</f>
        <v>07</v>
      </c>
      <c r="H406" s="3">
        <v>1233</v>
      </c>
    </row>
    <row r="407" spans="1:8" x14ac:dyDescent="0.25">
      <c r="A407" s="2" t="str">
        <f>"00023430"</f>
        <v>00023430</v>
      </c>
      <c r="B407" s="2" t="str">
        <f t="shared" si="20"/>
        <v>SG</v>
      </c>
      <c r="C407" s="4" t="s">
        <v>288</v>
      </c>
      <c r="D407" s="4" t="s">
        <v>0</v>
      </c>
      <c r="E407" s="4" t="s">
        <v>12</v>
      </c>
      <c r="F407" s="2" t="s">
        <v>0</v>
      </c>
      <c r="G407" s="2" t="str">
        <f>"07"</f>
        <v>07</v>
      </c>
      <c r="H407" s="3">
        <v>1233</v>
      </c>
    </row>
    <row r="408" spans="1:8" ht="29.25" x14ac:dyDescent="0.25">
      <c r="A408" s="2" t="str">
        <f>"00023440"</f>
        <v>00023440</v>
      </c>
      <c r="B408" s="2" t="str">
        <f t="shared" si="20"/>
        <v>SG</v>
      </c>
      <c r="C408" s="4" t="s">
        <v>289</v>
      </c>
      <c r="D408" s="4" t="s">
        <v>0</v>
      </c>
      <c r="E408" s="4" t="s">
        <v>12</v>
      </c>
      <c r="F408" s="2" t="s">
        <v>0</v>
      </c>
      <c r="G408" s="2" t="str">
        <f>"04"</f>
        <v>04</v>
      </c>
      <c r="H408" s="3">
        <v>785</v>
      </c>
    </row>
    <row r="409" spans="1:8" ht="29.25" x14ac:dyDescent="0.25">
      <c r="A409" s="2" t="str">
        <f>"00023450"</f>
        <v>00023450</v>
      </c>
      <c r="B409" s="2" t="str">
        <f t="shared" si="20"/>
        <v>SG</v>
      </c>
      <c r="C409" s="4" t="s">
        <v>290</v>
      </c>
      <c r="D409" s="4" t="s">
        <v>0</v>
      </c>
      <c r="E409" s="4" t="s">
        <v>12</v>
      </c>
      <c r="F409" s="2" t="s">
        <v>0</v>
      </c>
      <c r="G409" s="2" t="str">
        <f>"09"</f>
        <v>09</v>
      </c>
      <c r="H409" s="3">
        <v>1662</v>
      </c>
    </row>
    <row r="410" spans="1:8" ht="29.25" x14ac:dyDescent="0.25">
      <c r="A410" s="2" t="str">
        <f>"00023455"</f>
        <v>00023455</v>
      </c>
      <c r="B410" s="2" t="str">
        <f t="shared" si="20"/>
        <v>SG</v>
      </c>
      <c r="C410" s="4" t="s">
        <v>290</v>
      </c>
      <c r="D410" s="4" t="s">
        <v>0</v>
      </c>
      <c r="E410" s="4" t="s">
        <v>12</v>
      </c>
      <c r="F410" s="2" t="s">
        <v>0</v>
      </c>
      <c r="G410" s="2" t="str">
        <f>"09"</f>
        <v>09</v>
      </c>
      <c r="H410" s="3">
        <v>1662</v>
      </c>
    </row>
    <row r="411" spans="1:8" ht="29.25" x14ac:dyDescent="0.25">
      <c r="A411" s="2" t="str">
        <f>"00023460"</f>
        <v>00023460</v>
      </c>
      <c r="B411" s="2" t="str">
        <f t="shared" si="20"/>
        <v>SG</v>
      </c>
      <c r="C411" s="4" t="s">
        <v>290</v>
      </c>
      <c r="D411" s="4" t="s">
        <v>0</v>
      </c>
      <c r="E411" s="4" t="s">
        <v>12</v>
      </c>
      <c r="F411" s="2" t="s">
        <v>0</v>
      </c>
      <c r="G411" s="2" t="str">
        <f>"09"</f>
        <v>09</v>
      </c>
      <c r="H411" s="3">
        <v>1662</v>
      </c>
    </row>
    <row r="412" spans="1:8" ht="29.25" x14ac:dyDescent="0.25">
      <c r="A412" s="2" t="str">
        <f>"00023462"</f>
        <v>00023462</v>
      </c>
      <c r="B412" s="2" t="str">
        <f t="shared" si="20"/>
        <v>SG</v>
      </c>
      <c r="C412" s="4" t="s">
        <v>290</v>
      </c>
      <c r="D412" s="4" t="s">
        <v>0</v>
      </c>
      <c r="E412" s="4" t="s">
        <v>12</v>
      </c>
      <c r="F412" s="2" t="s">
        <v>0</v>
      </c>
      <c r="G412" s="2" t="str">
        <f>"07"</f>
        <v>07</v>
      </c>
      <c r="H412" s="3">
        <v>1233</v>
      </c>
    </row>
    <row r="413" spans="1:8" ht="29.25" x14ac:dyDescent="0.25">
      <c r="A413" s="2" t="str">
        <f>"00023465"</f>
        <v>00023465</v>
      </c>
      <c r="B413" s="2" t="str">
        <f t="shared" si="20"/>
        <v>SG</v>
      </c>
      <c r="C413" s="4" t="s">
        <v>290</v>
      </c>
      <c r="D413" s="4" t="s">
        <v>0</v>
      </c>
      <c r="E413" s="4" t="s">
        <v>12</v>
      </c>
      <c r="F413" s="2" t="s">
        <v>0</v>
      </c>
      <c r="G413" s="2" t="str">
        <f>"07"</f>
        <v>07</v>
      </c>
      <c r="H413" s="3">
        <v>1233</v>
      </c>
    </row>
    <row r="414" spans="1:8" ht="29.25" x14ac:dyDescent="0.25">
      <c r="A414" s="2" t="str">
        <f>"00023466"</f>
        <v>00023466</v>
      </c>
      <c r="B414" s="2" t="str">
        <f t="shared" si="20"/>
        <v>SG</v>
      </c>
      <c r="C414" s="4" t="s">
        <v>290</v>
      </c>
      <c r="D414" s="4" t="s">
        <v>0</v>
      </c>
      <c r="E414" s="4" t="s">
        <v>12</v>
      </c>
      <c r="F414" s="2" t="s">
        <v>0</v>
      </c>
      <c r="G414" s="2" t="str">
        <f>"07"</f>
        <v>07</v>
      </c>
      <c r="H414" s="3">
        <v>1233</v>
      </c>
    </row>
    <row r="415" spans="1:8" x14ac:dyDescent="0.25">
      <c r="A415" s="2" t="str">
        <f>"00023480"</f>
        <v>00023480</v>
      </c>
      <c r="B415" s="2" t="str">
        <f t="shared" si="20"/>
        <v>SG</v>
      </c>
      <c r="C415" s="4" t="s">
        <v>291</v>
      </c>
      <c r="D415" s="4" t="s">
        <v>0</v>
      </c>
      <c r="E415" s="4" t="s">
        <v>12</v>
      </c>
      <c r="F415" s="2" t="s">
        <v>0</v>
      </c>
      <c r="G415" s="2" t="str">
        <f>"07"</f>
        <v>07</v>
      </c>
      <c r="H415" s="3">
        <v>1233</v>
      </c>
    </row>
    <row r="416" spans="1:8" x14ac:dyDescent="0.25">
      <c r="A416" s="2" t="str">
        <f>"00023485"</f>
        <v>00023485</v>
      </c>
      <c r="B416" s="2" t="str">
        <f t="shared" si="20"/>
        <v>SG</v>
      </c>
      <c r="C416" s="4" t="s">
        <v>291</v>
      </c>
      <c r="D416" s="4" t="s">
        <v>0</v>
      </c>
      <c r="E416" s="4" t="s">
        <v>12</v>
      </c>
      <c r="F416" s="2" t="s">
        <v>0</v>
      </c>
      <c r="G416" s="2" t="str">
        <f>"09"</f>
        <v>09</v>
      </c>
      <c r="H416" s="3">
        <v>1662</v>
      </c>
    </row>
    <row r="417" spans="1:8" x14ac:dyDescent="0.25">
      <c r="A417" s="2" t="str">
        <f>"00023490"</f>
        <v>00023490</v>
      </c>
      <c r="B417" s="2" t="str">
        <f t="shared" si="20"/>
        <v>SG</v>
      </c>
      <c r="C417" s="4" t="s">
        <v>292</v>
      </c>
      <c r="D417" s="4" t="s">
        <v>0</v>
      </c>
      <c r="E417" s="4" t="s">
        <v>12</v>
      </c>
      <c r="F417" s="2" t="s">
        <v>0</v>
      </c>
      <c r="G417" s="2" t="str">
        <f>"09"</f>
        <v>09</v>
      </c>
      <c r="H417" s="3">
        <v>1662</v>
      </c>
    </row>
    <row r="418" spans="1:8" ht="29.25" x14ac:dyDescent="0.25">
      <c r="A418" s="2" t="str">
        <f>"00023491"</f>
        <v>00023491</v>
      </c>
      <c r="B418" s="2" t="str">
        <f t="shared" si="20"/>
        <v>SG</v>
      </c>
      <c r="C418" s="4" t="s">
        <v>293</v>
      </c>
      <c r="D418" s="4" t="s">
        <v>0</v>
      </c>
      <c r="E418" s="4" t="s">
        <v>12</v>
      </c>
      <c r="F418" s="2" t="s">
        <v>0</v>
      </c>
      <c r="G418" s="2" t="str">
        <f>"09"</f>
        <v>09</v>
      </c>
      <c r="H418" s="3">
        <v>1662</v>
      </c>
    </row>
    <row r="419" spans="1:8" ht="29.25" x14ac:dyDescent="0.25">
      <c r="A419" s="2" t="str">
        <f>"00023500"</f>
        <v>00023500</v>
      </c>
      <c r="B419" s="2" t="str">
        <f t="shared" si="20"/>
        <v>SG</v>
      </c>
      <c r="C419" s="4" t="s">
        <v>294</v>
      </c>
      <c r="D419" s="4" t="s">
        <v>0</v>
      </c>
      <c r="E419" s="4" t="s">
        <v>12</v>
      </c>
      <c r="F419" s="2" t="s">
        <v>0</v>
      </c>
      <c r="G419" s="2" t="str">
        <f>"01"</f>
        <v>01</v>
      </c>
      <c r="H419" s="3">
        <v>413</v>
      </c>
    </row>
    <row r="420" spans="1:8" ht="29.25" x14ac:dyDescent="0.25">
      <c r="A420" s="2" t="str">
        <f>"00023505"</f>
        <v>00023505</v>
      </c>
      <c r="B420" s="2" t="str">
        <f t="shared" si="20"/>
        <v>SG</v>
      </c>
      <c r="C420" s="4" t="s">
        <v>294</v>
      </c>
      <c r="D420" s="4" t="s">
        <v>0</v>
      </c>
      <c r="E420" s="4" t="s">
        <v>12</v>
      </c>
      <c r="F420" s="2" t="s">
        <v>0</v>
      </c>
      <c r="G420" s="2" t="str">
        <f>"01"</f>
        <v>01</v>
      </c>
      <c r="H420" s="3">
        <v>413</v>
      </c>
    </row>
    <row r="421" spans="1:8" ht="29.25" x14ac:dyDescent="0.25">
      <c r="A421" s="2" t="str">
        <f>"00023515"</f>
        <v>00023515</v>
      </c>
      <c r="B421" s="2" t="str">
        <f t="shared" si="20"/>
        <v>SG</v>
      </c>
      <c r="C421" s="4" t="s">
        <v>294</v>
      </c>
      <c r="D421" s="4" t="s">
        <v>0</v>
      </c>
      <c r="E421" s="4" t="s">
        <v>12</v>
      </c>
      <c r="F421" s="2" t="s">
        <v>0</v>
      </c>
      <c r="G421" s="2" t="str">
        <f>"09"</f>
        <v>09</v>
      </c>
      <c r="H421" s="3">
        <v>1662</v>
      </c>
    </row>
    <row r="422" spans="1:8" ht="29.25" x14ac:dyDescent="0.25">
      <c r="A422" s="2" t="str">
        <f>"00023520"</f>
        <v>00023520</v>
      </c>
      <c r="B422" s="2" t="str">
        <f t="shared" si="20"/>
        <v>SG</v>
      </c>
      <c r="C422" s="4" t="s">
        <v>295</v>
      </c>
      <c r="D422" s="4" t="s">
        <v>0</v>
      </c>
      <c r="E422" s="4" t="s">
        <v>12</v>
      </c>
      <c r="F422" s="2" t="s">
        <v>0</v>
      </c>
      <c r="G422" s="2" t="str">
        <f>"01"</f>
        <v>01</v>
      </c>
      <c r="H422" s="3">
        <v>413</v>
      </c>
    </row>
    <row r="423" spans="1:8" ht="29.25" x14ac:dyDescent="0.25">
      <c r="A423" s="2" t="str">
        <f>"00023525"</f>
        <v>00023525</v>
      </c>
      <c r="B423" s="2" t="str">
        <f t="shared" si="20"/>
        <v>SG</v>
      </c>
      <c r="C423" s="4" t="s">
        <v>295</v>
      </c>
      <c r="D423" s="4" t="s">
        <v>0</v>
      </c>
      <c r="E423" s="4" t="s">
        <v>12</v>
      </c>
      <c r="F423" s="2" t="s">
        <v>0</v>
      </c>
      <c r="G423" s="2" t="str">
        <f>"01"</f>
        <v>01</v>
      </c>
      <c r="H423" s="3">
        <v>413</v>
      </c>
    </row>
    <row r="424" spans="1:8" ht="29.25" x14ac:dyDescent="0.25">
      <c r="A424" s="2" t="str">
        <f>"00023530"</f>
        <v>00023530</v>
      </c>
      <c r="B424" s="2" t="str">
        <f t="shared" si="20"/>
        <v>SG</v>
      </c>
      <c r="C424" s="4" t="s">
        <v>295</v>
      </c>
      <c r="D424" s="4" t="s">
        <v>0</v>
      </c>
      <c r="E424" s="4" t="s">
        <v>12</v>
      </c>
      <c r="F424" s="2" t="s">
        <v>0</v>
      </c>
      <c r="G424" s="2" t="str">
        <f>"08"</f>
        <v>08</v>
      </c>
      <c r="H424" s="3">
        <v>1183</v>
      </c>
    </row>
    <row r="425" spans="1:8" ht="29.25" x14ac:dyDescent="0.25">
      <c r="A425" s="2" t="str">
        <f>"00023532"</f>
        <v>00023532</v>
      </c>
      <c r="B425" s="2" t="str">
        <f t="shared" si="20"/>
        <v>SG</v>
      </c>
      <c r="C425" s="4" t="s">
        <v>295</v>
      </c>
      <c r="D425" s="4" t="s">
        <v>0</v>
      </c>
      <c r="E425" s="4" t="s">
        <v>12</v>
      </c>
      <c r="F425" s="2" t="s">
        <v>0</v>
      </c>
      <c r="G425" s="2" t="str">
        <f>"03"</f>
        <v>03</v>
      </c>
      <c r="H425" s="3">
        <v>637</v>
      </c>
    </row>
    <row r="426" spans="1:8" ht="29.25" x14ac:dyDescent="0.25">
      <c r="A426" s="2" t="str">
        <f>"00023540"</f>
        <v>00023540</v>
      </c>
      <c r="B426" s="2" t="str">
        <f t="shared" si="20"/>
        <v>SG</v>
      </c>
      <c r="C426" s="4" t="s">
        <v>295</v>
      </c>
      <c r="D426" s="4" t="s">
        <v>0</v>
      </c>
      <c r="E426" s="4" t="s">
        <v>12</v>
      </c>
      <c r="F426" s="2" t="s">
        <v>0</v>
      </c>
      <c r="G426" s="2" t="str">
        <f>"01"</f>
        <v>01</v>
      </c>
      <c r="H426" s="3">
        <v>413</v>
      </c>
    </row>
    <row r="427" spans="1:8" ht="29.25" x14ac:dyDescent="0.25">
      <c r="A427" s="2" t="str">
        <f>"00023545"</f>
        <v>00023545</v>
      </c>
      <c r="B427" s="2" t="str">
        <f t="shared" si="20"/>
        <v>SG</v>
      </c>
      <c r="C427" s="4" t="s">
        <v>295</v>
      </c>
      <c r="D427" s="4" t="s">
        <v>0</v>
      </c>
      <c r="E427" s="4" t="s">
        <v>12</v>
      </c>
      <c r="F427" s="2" t="s">
        <v>0</v>
      </c>
      <c r="G427" s="2" t="str">
        <f>"01"</f>
        <v>01</v>
      </c>
      <c r="H427" s="3">
        <v>413</v>
      </c>
    </row>
    <row r="428" spans="1:8" ht="29.25" x14ac:dyDescent="0.25">
      <c r="A428" s="2" t="str">
        <f>"00023550"</f>
        <v>00023550</v>
      </c>
      <c r="B428" s="2" t="str">
        <f t="shared" si="20"/>
        <v>SG</v>
      </c>
      <c r="C428" s="4" t="s">
        <v>295</v>
      </c>
      <c r="D428" s="4" t="s">
        <v>0</v>
      </c>
      <c r="E428" s="4" t="s">
        <v>12</v>
      </c>
      <c r="F428" s="2" t="s">
        <v>0</v>
      </c>
      <c r="G428" s="2" t="str">
        <f>"08"</f>
        <v>08</v>
      </c>
      <c r="H428" s="3">
        <v>1183</v>
      </c>
    </row>
    <row r="429" spans="1:8" ht="29.25" x14ac:dyDescent="0.25">
      <c r="A429" s="2" t="str">
        <f>"00023552"</f>
        <v>00023552</v>
      </c>
      <c r="B429" s="2" t="str">
        <f t="shared" si="20"/>
        <v>SG</v>
      </c>
      <c r="C429" s="4" t="s">
        <v>295</v>
      </c>
      <c r="D429" s="4" t="s">
        <v>0</v>
      </c>
      <c r="E429" s="4" t="s">
        <v>12</v>
      </c>
      <c r="F429" s="2" t="s">
        <v>0</v>
      </c>
      <c r="G429" s="2" t="str">
        <f>"08"</f>
        <v>08</v>
      </c>
      <c r="H429" s="3">
        <v>1183</v>
      </c>
    </row>
    <row r="430" spans="1:8" ht="29.25" x14ac:dyDescent="0.25">
      <c r="A430" s="2" t="str">
        <f>"00023570"</f>
        <v>00023570</v>
      </c>
      <c r="B430" s="2" t="str">
        <f t="shared" si="20"/>
        <v>SG</v>
      </c>
      <c r="C430" s="4" t="s">
        <v>296</v>
      </c>
      <c r="D430" s="4" t="s">
        <v>0</v>
      </c>
      <c r="E430" s="4" t="s">
        <v>12</v>
      </c>
      <c r="F430" s="2" t="s">
        <v>0</v>
      </c>
      <c r="G430" s="2" t="str">
        <f>"01"</f>
        <v>01</v>
      </c>
      <c r="H430" s="3">
        <v>413</v>
      </c>
    </row>
    <row r="431" spans="1:8" ht="29.25" x14ac:dyDescent="0.25">
      <c r="A431" s="2" t="str">
        <f>"00023575"</f>
        <v>00023575</v>
      </c>
      <c r="B431" s="2" t="str">
        <f t="shared" si="20"/>
        <v>SG</v>
      </c>
      <c r="C431" s="4" t="s">
        <v>296</v>
      </c>
      <c r="D431" s="4" t="s">
        <v>0</v>
      </c>
      <c r="E431" s="4" t="s">
        <v>12</v>
      </c>
      <c r="F431" s="2" t="s">
        <v>0</v>
      </c>
      <c r="G431" s="2" t="str">
        <f>"01"</f>
        <v>01</v>
      </c>
      <c r="H431" s="3">
        <v>413</v>
      </c>
    </row>
    <row r="432" spans="1:8" x14ac:dyDescent="0.25">
      <c r="A432" s="2" t="str">
        <f>"00023585"</f>
        <v>00023585</v>
      </c>
      <c r="B432" s="2" t="str">
        <f t="shared" si="20"/>
        <v>SG</v>
      </c>
      <c r="C432" s="4" t="s">
        <v>297</v>
      </c>
      <c r="D432" s="4" t="s">
        <v>0</v>
      </c>
      <c r="E432" s="4" t="s">
        <v>12</v>
      </c>
      <c r="F432" s="2" t="s">
        <v>0</v>
      </c>
      <c r="G432" s="2" t="str">
        <f>"09"</f>
        <v>09</v>
      </c>
      <c r="H432" s="3">
        <v>1662</v>
      </c>
    </row>
    <row r="433" spans="1:8" ht="29.25" x14ac:dyDescent="0.25">
      <c r="A433" s="2" t="str">
        <f>"00023605"</f>
        <v>00023605</v>
      </c>
      <c r="B433" s="2" t="str">
        <f t="shared" si="20"/>
        <v>SG</v>
      </c>
      <c r="C433" s="4" t="s">
        <v>298</v>
      </c>
      <c r="D433" s="4" t="s">
        <v>0</v>
      </c>
      <c r="E433" s="4" t="s">
        <v>12</v>
      </c>
      <c r="F433" s="2" t="s">
        <v>0</v>
      </c>
      <c r="G433" s="2" t="str">
        <f>"02"</f>
        <v>02</v>
      </c>
      <c r="H433" s="3">
        <v>552</v>
      </c>
    </row>
    <row r="434" spans="1:8" ht="29.25" x14ac:dyDescent="0.25">
      <c r="A434" s="2" t="str">
        <f>"00023615"</f>
        <v>00023615</v>
      </c>
      <c r="B434" s="2" t="str">
        <f t="shared" si="20"/>
        <v>SG</v>
      </c>
      <c r="C434" s="4" t="s">
        <v>298</v>
      </c>
      <c r="D434" s="4" t="s">
        <v>0</v>
      </c>
      <c r="E434" s="4" t="s">
        <v>12</v>
      </c>
      <c r="F434" s="2" t="s">
        <v>0</v>
      </c>
      <c r="G434" s="2" t="str">
        <f>"09"</f>
        <v>09</v>
      </c>
      <c r="H434" s="3">
        <v>1662</v>
      </c>
    </row>
    <row r="435" spans="1:8" ht="29.25" x14ac:dyDescent="0.25">
      <c r="A435" s="2" t="str">
        <f>"00023616"</f>
        <v>00023616</v>
      </c>
      <c r="B435" s="2" t="str">
        <f t="shared" si="20"/>
        <v>SG</v>
      </c>
      <c r="C435" s="4" t="s">
        <v>298</v>
      </c>
      <c r="D435" s="4" t="s">
        <v>0</v>
      </c>
      <c r="E435" s="4" t="s">
        <v>12</v>
      </c>
      <c r="F435" s="2" t="s">
        <v>0</v>
      </c>
      <c r="G435" s="2" t="str">
        <f>"09"</f>
        <v>09</v>
      </c>
      <c r="H435" s="3">
        <v>1662</v>
      </c>
    </row>
    <row r="436" spans="1:8" ht="29.25" x14ac:dyDescent="0.25">
      <c r="A436" s="2" t="str">
        <f>"00023625"</f>
        <v>00023625</v>
      </c>
      <c r="B436" s="2" t="str">
        <f t="shared" si="20"/>
        <v>SG</v>
      </c>
      <c r="C436" s="4" t="s">
        <v>298</v>
      </c>
      <c r="D436" s="4" t="s">
        <v>0</v>
      </c>
      <c r="E436" s="4" t="s">
        <v>12</v>
      </c>
      <c r="F436" s="2" t="s">
        <v>0</v>
      </c>
      <c r="G436" s="2" t="str">
        <f>"01"</f>
        <v>01</v>
      </c>
      <c r="H436" s="3">
        <v>413</v>
      </c>
    </row>
    <row r="437" spans="1:8" ht="29.25" x14ac:dyDescent="0.25">
      <c r="A437" s="2" t="str">
        <f>"00023630"</f>
        <v>00023630</v>
      </c>
      <c r="B437" s="2" t="str">
        <f t="shared" si="20"/>
        <v>SG</v>
      </c>
      <c r="C437" s="4" t="s">
        <v>298</v>
      </c>
      <c r="D437" s="4" t="s">
        <v>0</v>
      </c>
      <c r="E437" s="4" t="s">
        <v>12</v>
      </c>
      <c r="F437" s="2" t="s">
        <v>0</v>
      </c>
      <c r="G437" s="2" t="str">
        <f>"09"</f>
        <v>09</v>
      </c>
      <c r="H437" s="3">
        <v>1662</v>
      </c>
    </row>
    <row r="438" spans="1:8" ht="29.25" x14ac:dyDescent="0.25">
      <c r="A438" s="2" t="str">
        <f>"00023650"</f>
        <v>00023650</v>
      </c>
      <c r="B438" s="2" t="str">
        <f t="shared" si="20"/>
        <v>SG</v>
      </c>
      <c r="C438" s="4" t="s">
        <v>299</v>
      </c>
      <c r="D438" s="4" t="s">
        <v>0</v>
      </c>
      <c r="E438" s="4" t="s">
        <v>12</v>
      </c>
      <c r="F438" s="2" t="s">
        <v>0</v>
      </c>
      <c r="G438" s="2" t="str">
        <f>"01"</f>
        <v>01</v>
      </c>
      <c r="H438" s="3">
        <v>413</v>
      </c>
    </row>
    <row r="439" spans="1:8" ht="29.25" x14ac:dyDescent="0.25">
      <c r="A439" s="2" t="str">
        <f>"00023655"</f>
        <v>00023655</v>
      </c>
      <c r="B439" s="2" t="str">
        <f t="shared" si="20"/>
        <v>SG</v>
      </c>
      <c r="C439" s="4" t="s">
        <v>299</v>
      </c>
      <c r="D439" s="4" t="s">
        <v>0</v>
      </c>
      <c r="E439" s="4" t="s">
        <v>12</v>
      </c>
      <c r="F439" s="2" t="s">
        <v>0</v>
      </c>
      <c r="G439" s="2" t="str">
        <f>"01"</f>
        <v>01</v>
      </c>
      <c r="H439" s="3">
        <v>413</v>
      </c>
    </row>
    <row r="440" spans="1:8" ht="29.25" x14ac:dyDescent="0.25">
      <c r="A440" s="2" t="str">
        <f>"00023660"</f>
        <v>00023660</v>
      </c>
      <c r="B440" s="2" t="str">
        <f t="shared" si="20"/>
        <v>SG</v>
      </c>
      <c r="C440" s="4" t="s">
        <v>299</v>
      </c>
      <c r="D440" s="4" t="s">
        <v>0</v>
      </c>
      <c r="E440" s="4" t="s">
        <v>12</v>
      </c>
      <c r="F440" s="2" t="s">
        <v>0</v>
      </c>
      <c r="G440" s="2" t="str">
        <f>"08"</f>
        <v>08</v>
      </c>
      <c r="H440" s="3">
        <v>1183</v>
      </c>
    </row>
    <row r="441" spans="1:8" ht="29.25" x14ac:dyDescent="0.25">
      <c r="A441" s="2" t="str">
        <f>"00023665"</f>
        <v>00023665</v>
      </c>
      <c r="B441" s="2" t="str">
        <f t="shared" si="20"/>
        <v>SG</v>
      </c>
      <c r="C441" s="4" t="s">
        <v>300</v>
      </c>
      <c r="D441" s="4" t="s">
        <v>0</v>
      </c>
      <c r="E441" s="4" t="s">
        <v>12</v>
      </c>
      <c r="F441" s="2" t="s">
        <v>0</v>
      </c>
      <c r="G441" s="2" t="str">
        <f>"01"</f>
        <v>01</v>
      </c>
      <c r="H441" s="3">
        <v>413</v>
      </c>
    </row>
    <row r="442" spans="1:8" ht="29.25" x14ac:dyDescent="0.25">
      <c r="A442" s="2" t="str">
        <f>"00023670"</f>
        <v>00023670</v>
      </c>
      <c r="B442" s="2" t="str">
        <f t="shared" si="20"/>
        <v>SG</v>
      </c>
      <c r="C442" s="4" t="s">
        <v>300</v>
      </c>
      <c r="D442" s="4" t="s">
        <v>0</v>
      </c>
      <c r="E442" s="4" t="s">
        <v>12</v>
      </c>
      <c r="F442" s="2" t="s">
        <v>0</v>
      </c>
      <c r="G442" s="2" t="str">
        <f>"09"</f>
        <v>09</v>
      </c>
      <c r="H442" s="3">
        <v>1662</v>
      </c>
    </row>
    <row r="443" spans="1:8" ht="29.25" x14ac:dyDescent="0.25">
      <c r="A443" s="2" t="str">
        <f>"00023675"</f>
        <v>00023675</v>
      </c>
      <c r="B443" s="2" t="str">
        <f t="shared" si="20"/>
        <v>SG</v>
      </c>
      <c r="C443" s="4" t="s">
        <v>300</v>
      </c>
      <c r="D443" s="4" t="s">
        <v>0</v>
      </c>
      <c r="E443" s="4" t="s">
        <v>12</v>
      </c>
      <c r="F443" s="2" t="s">
        <v>0</v>
      </c>
      <c r="G443" s="2" t="str">
        <f>"01"</f>
        <v>01</v>
      </c>
      <c r="H443" s="3">
        <v>413</v>
      </c>
    </row>
    <row r="444" spans="1:8" ht="29.25" x14ac:dyDescent="0.25">
      <c r="A444" s="2" t="str">
        <f>"00023680"</f>
        <v>00023680</v>
      </c>
      <c r="B444" s="2" t="str">
        <f t="shared" si="20"/>
        <v>SG</v>
      </c>
      <c r="C444" s="4" t="s">
        <v>300</v>
      </c>
      <c r="D444" s="4" t="s">
        <v>0</v>
      </c>
      <c r="E444" s="4" t="s">
        <v>12</v>
      </c>
      <c r="F444" s="2" t="s">
        <v>0</v>
      </c>
      <c r="G444" s="2" t="str">
        <f>"08"</f>
        <v>08</v>
      </c>
      <c r="H444" s="3">
        <v>1183</v>
      </c>
    </row>
    <row r="445" spans="1:8" x14ac:dyDescent="0.25">
      <c r="A445" s="2" t="str">
        <f>"00023700"</f>
        <v>00023700</v>
      </c>
      <c r="B445" s="2" t="str">
        <f t="shared" si="20"/>
        <v>SG</v>
      </c>
      <c r="C445" s="4" t="s">
        <v>301</v>
      </c>
      <c r="D445" s="4" t="s">
        <v>0</v>
      </c>
      <c r="E445" s="4" t="s">
        <v>12</v>
      </c>
      <c r="F445" s="2" t="s">
        <v>0</v>
      </c>
      <c r="G445" s="2" t="str">
        <f>"01"</f>
        <v>01</v>
      </c>
      <c r="H445" s="3">
        <v>413</v>
      </c>
    </row>
    <row r="446" spans="1:8" ht="29.25" x14ac:dyDescent="0.25">
      <c r="A446" s="2" t="str">
        <f>"00023800"</f>
        <v>00023800</v>
      </c>
      <c r="B446" s="2" t="str">
        <f t="shared" si="20"/>
        <v>SG</v>
      </c>
      <c r="C446" s="4" t="s">
        <v>302</v>
      </c>
      <c r="D446" s="4" t="s">
        <v>0</v>
      </c>
      <c r="E446" s="4" t="s">
        <v>12</v>
      </c>
      <c r="F446" s="2" t="s">
        <v>0</v>
      </c>
      <c r="G446" s="2" t="str">
        <f>"09"</f>
        <v>09</v>
      </c>
      <c r="H446" s="3">
        <v>1662</v>
      </c>
    </row>
    <row r="447" spans="1:8" ht="29.25" x14ac:dyDescent="0.25">
      <c r="A447" s="2" t="str">
        <f>"00023802"</f>
        <v>00023802</v>
      </c>
      <c r="B447" s="2" t="str">
        <f t="shared" si="20"/>
        <v>SG</v>
      </c>
      <c r="C447" s="4" t="s">
        <v>302</v>
      </c>
      <c r="D447" s="4" t="s">
        <v>0</v>
      </c>
      <c r="E447" s="4" t="s">
        <v>12</v>
      </c>
      <c r="F447" s="2" t="s">
        <v>0</v>
      </c>
      <c r="G447" s="2" t="str">
        <f>"09"</f>
        <v>09</v>
      </c>
      <c r="H447" s="3">
        <v>1662</v>
      </c>
    </row>
    <row r="448" spans="1:8" ht="29.25" x14ac:dyDescent="0.25">
      <c r="A448" s="2" t="str">
        <f>"00023921"</f>
        <v>00023921</v>
      </c>
      <c r="B448" s="2" t="str">
        <f t="shared" si="20"/>
        <v>SG</v>
      </c>
      <c r="C448" s="4" t="s">
        <v>303</v>
      </c>
      <c r="D448" s="4" t="s">
        <v>0</v>
      </c>
      <c r="E448" s="4" t="s">
        <v>12</v>
      </c>
      <c r="F448" s="2" t="s">
        <v>0</v>
      </c>
      <c r="G448" s="2" t="str">
        <f>"03"</f>
        <v>03</v>
      </c>
      <c r="H448" s="3">
        <v>637</v>
      </c>
    </row>
    <row r="449" spans="1:8" x14ac:dyDescent="0.25">
      <c r="A449" s="2" t="str">
        <f>"00023930"</f>
        <v>00023930</v>
      </c>
      <c r="B449" s="2" t="str">
        <f t="shared" si="20"/>
        <v>SG</v>
      </c>
      <c r="C449" s="4" t="s">
        <v>304</v>
      </c>
      <c r="D449" s="4" t="s">
        <v>0</v>
      </c>
      <c r="E449" s="4" t="s">
        <v>12</v>
      </c>
      <c r="F449" s="2" t="s">
        <v>0</v>
      </c>
      <c r="G449" s="2" t="str">
        <f>"02"</f>
        <v>02</v>
      </c>
      <c r="H449" s="3">
        <v>552</v>
      </c>
    </row>
    <row r="450" spans="1:8" x14ac:dyDescent="0.25">
      <c r="A450" s="2" t="str">
        <f>"00023931"</f>
        <v>00023931</v>
      </c>
      <c r="B450" s="2" t="str">
        <f t="shared" si="20"/>
        <v>SG</v>
      </c>
      <c r="C450" s="4" t="s">
        <v>305</v>
      </c>
      <c r="D450" s="4" t="s">
        <v>0</v>
      </c>
      <c r="E450" s="4" t="s">
        <v>12</v>
      </c>
      <c r="F450" s="2" t="s">
        <v>0</v>
      </c>
      <c r="G450" s="2" t="str">
        <f>"01"</f>
        <v>01</v>
      </c>
      <c r="H450" s="3">
        <v>413</v>
      </c>
    </row>
    <row r="451" spans="1:8" ht="29.25" x14ac:dyDescent="0.25">
      <c r="A451" s="2" t="str">
        <f>"00023935"</f>
        <v>00023935</v>
      </c>
      <c r="B451" s="2" t="str">
        <f t="shared" si="20"/>
        <v>SG</v>
      </c>
      <c r="C451" s="4" t="s">
        <v>306</v>
      </c>
      <c r="D451" s="4" t="s">
        <v>0</v>
      </c>
      <c r="E451" s="4" t="s">
        <v>12</v>
      </c>
      <c r="F451" s="2" t="s">
        <v>0</v>
      </c>
      <c r="G451" s="2" t="str">
        <f>"02"</f>
        <v>02</v>
      </c>
      <c r="H451" s="3">
        <v>552</v>
      </c>
    </row>
    <row r="452" spans="1:8" ht="29.25" x14ac:dyDescent="0.25">
      <c r="A452" s="2" t="str">
        <f>"00024000"</f>
        <v>00024000</v>
      </c>
      <c r="B452" s="2" t="str">
        <f t="shared" si="20"/>
        <v>SG</v>
      </c>
      <c r="C452" s="4" t="s">
        <v>307</v>
      </c>
      <c r="D452" s="4" t="s">
        <v>0</v>
      </c>
      <c r="E452" s="4" t="s">
        <v>12</v>
      </c>
      <c r="F452" s="2" t="s">
        <v>0</v>
      </c>
      <c r="G452" s="2" t="str">
        <f>"04"</f>
        <v>04</v>
      </c>
      <c r="H452" s="3">
        <v>785</v>
      </c>
    </row>
    <row r="453" spans="1:8" x14ac:dyDescent="0.25">
      <c r="A453" s="2" t="str">
        <f>"00024006"</f>
        <v>00024006</v>
      </c>
      <c r="B453" s="2" t="str">
        <f t="shared" si="20"/>
        <v>SG</v>
      </c>
      <c r="C453" s="4" t="s">
        <v>308</v>
      </c>
      <c r="D453" s="4" t="s">
        <v>0</v>
      </c>
      <c r="E453" s="4" t="s">
        <v>12</v>
      </c>
      <c r="F453" s="2" t="s">
        <v>0</v>
      </c>
      <c r="G453" s="2" t="str">
        <f>"04"</f>
        <v>04</v>
      </c>
      <c r="H453" s="3">
        <v>785</v>
      </c>
    </row>
    <row r="454" spans="1:8" ht="29.25" x14ac:dyDescent="0.25">
      <c r="A454" s="2" t="str">
        <f>"00024066"</f>
        <v>00024066</v>
      </c>
      <c r="B454" s="2" t="str">
        <f t="shared" si="20"/>
        <v>SG</v>
      </c>
      <c r="C454" s="4" t="s">
        <v>309</v>
      </c>
      <c r="D454" s="4" t="s">
        <v>0</v>
      </c>
      <c r="E454" s="4" t="s">
        <v>12</v>
      </c>
      <c r="F454" s="2" t="s">
        <v>0</v>
      </c>
      <c r="G454" s="2" t="str">
        <f>"01"</f>
        <v>01</v>
      </c>
      <c r="H454" s="3">
        <v>413</v>
      </c>
    </row>
    <row r="455" spans="1:8" ht="29.25" x14ac:dyDescent="0.25">
      <c r="A455" s="2" t="str">
        <f>"00024071"</f>
        <v>00024071</v>
      </c>
      <c r="B455" s="2" t="str">
        <f t="shared" si="20"/>
        <v>SG</v>
      </c>
      <c r="C455" s="4" t="s">
        <v>310</v>
      </c>
      <c r="D455" s="4" t="s">
        <v>0</v>
      </c>
      <c r="E455" s="4" t="s">
        <v>12</v>
      </c>
      <c r="F455" s="2" t="s">
        <v>0</v>
      </c>
      <c r="G455" s="2" t="str">
        <f>"04"</f>
        <v>04</v>
      </c>
      <c r="H455" s="3">
        <v>785</v>
      </c>
    </row>
    <row r="456" spans="1:8" ht="29.25" x14ac:dyDescent="0.25">
      <c r="A456" s="2" t="str">
        <f>"00024073"</f>
        <v>00024073</v>
      </c>
      <c r="B456" s="2" t="str">
        <f t="shared" si="20"/>
        <v>SG</v>
      </c>
      <c r="C456" s="4" t="s">
        <v>311</v>
      </c>
      <c r="D456" s="4" t="s">
        <v>0</v>
      </c>
      <c r="E456" s="4" t="s">
        <v>12</v>
      </c>
      <c r="F456" s="2" t="s">
        <v>0</v>
      </c>
      <c r="G456" s="2" t="str">
        <f>"04"</f>
        <v>04</v>
      </c>
      <c r="H456" s="3">
        <v>785</v>
      </c>
    </row>
    <row r="457" spans="1:8" ht="29.25" x14ac:dyDescent="0.25">
      <c r="A457" s="2" t="str">
        <f>"00024075"</f>
        <v>00024075</v>
      </c>
      <c r="B457" s="2" t="str">
        <f t="shared" si="20"/>
        <v>SG</v>
      </c>
      <c r="C457" s="4" t="s">
        <v>312</v>
      </c>
      <c r="D457" s="4" t="s">
        <v>0</v>
      </c>
      <c r="E457" s="4" t="s">
        <v>12</v>
      </c>
      <c r="F457" s="2" t="s">
        <v>0</v>
      </c>
      <c r="G457" s="2" t="str">
        <f>"01"</f>
        <v>01</v>
      </c>
      <c r="H457" s="3">
        <v>413</v>
      </c>
    </row>
    <row r="458" spans="1:8" ht="29.25" x14ac:dyDescent="0.25">
      <c r="A458" s="2" t="str">
        <f>"00024076"</f>
        <v>00024076</v>
      </c>
      <c r="B458" s="2" t="str">
        <f t="shared" si="20"/>
        <v>SG</v>
      </c>
      <c r="C458" s="4" t="s">
        <v>312</v>
      </c>
      <c r="D458" s="4" t="s">
        <v>0</v>
      </c>
      <c r="E458" s="4" t="s">
        <v>12</v>
      </c>
      <c r="F458" s="2" t="s">
        <v>0</v>
      </c>
      <c r="G458" s="2" t="str">
        <f>"01"</f>
        <v>01</v>
      </c>
      <c r="H458" s="3">
        <v>413</v>
      </c>
    </row>
    <row r="459" spans="1:8" ht="29.25" x14ac:dyDescent="0.25">
      <c r="A459" s="2" t="str">
        <f>"00024077"</f>
        <v>00024077</v>
      </c>
      <c r="B459" s="2" t="str">
        <f t="shared" si="20"/>
        <v>SG</v>
      </c>
      <c r="C459" s="4" t="s">
        <v>313</v>
      </c>
      <c r="D459" s="4" t="s">
        <v>0</v>
      </c>
      <c r="E459" s="4" t="s">
        <v>12</v>
      </c>
      <c r="F459" s="2" t="s">
        <v>0</v>
      </c>
      <c r="G459" s="2" t="str">
        <f>"01"</f>
        <v>01</v>
      </c>
      <c r="H459" s="3">
        <v>413</v>
      </c>
    </row>
    <row r="460" spans="1:8" ht="29.25" x14ac:dyDescent="0.25">
      <c r="A460" s="2" t="str">
        <f>"00024100"</f>
        <v>00024100</v>
      </c>
      <c r="B460" s="2" t="str">
        <f t="shared" si="20"/>
        <v>SG</v>
      </c>
      <c r="C460" s="4" t="s">
        <v>314</v>
      </c>
      <c r="D460" s="4" t="s">
        <v>0</v>
      </c>
      <c r="E460" s="4" t="s">
        <v>12</v>
      </c>
      <c r="F460" s="2" t="s">
        <v>0</v>
      </c>
      <c r="G460" s="2" t="str">
        <f>"02"</f>
        <v>02</v>
      </c>
      <c r="H460" s="3">
        <v>552</v>
      </c>
    </row>
    <row r="461" spans="1:8" ht="29.25" x14ac:dyDescent="0.25">
      <c r="A461" s="2" t="str">
        <f>"00024101"</f>
        <v>00024101</v>
      </c>
      <c r="B461" s="2" t="str">
        <f t="shared" ref="B461:B524" si="21">"SG"</f>
        <v>SG</v>
      </c>
      <c r="C461" s="4" t="s">
        <v>315</v>
      </c>
      <c r="D461" s="4" t="s">
        <v>0</v>
      </c>
      <c r="E461" s="4" t="s">
        <v>12</v>
      </c>
      <c r="F461" s="2" t="s">
        <v>0</v>
      </c>
      <c r="G461" s="2" t="str">
        <f>"04"</f>
        <v>04</v>
      </c>
      <c r="H461" s="3">
        <v>785</v>
      </c>
    </row>
    <row r="462" spans="1:8" ht="29.25" x14ac:dyDescent="0.25">
      <c r="A462" s="2" t="str">
        <f>"00024102"</f>
        <v>00024102</v>
      </c>
      <c r="B462" s="2" t="str">
        <f t="shared" si="21"/>
        <v>SG</v>
      </c>
      <c r="C462" s="4" t="s">
        <v>316</v>
      </c>
      <c r="D462" s="4" t="s">
        <v>0</v>
      </c>
      <c r="E462" s="4" t="s">
        <v>12</v>
      </c>
      <c r="F462" s="2" t="s">
        <v>0</v>
      </c>
      <c r="G462" s="2" t="str">
        <f>"04"</f>
        <v>04</v>
      </c>
      <c r="H462" s="3">
        <v>785</v>
      </c>
    </row>
    <row r="463" spans="1:8" ht="29.25" x14ac:dyDescent="0.25">
      <c r="A463" s="2" t="str">
        <f>"00024105"</f>
        <v>00024105</v>
      </c>
      <c r="B463" s="2" t="str">
        <f t="shared" si="21"/>
        <v>SG</v>
      </c>
      <c r="C463" s="4" t="s">
        <v>317</v>
      </c>
      <c r="D463" s="4" t="s">
        <v>0</v>
      </c>
      <c r="E463" s="4" t="s">
        <v>12</v>
      </c>
      <c r="F463" s="2" t="s">
        <v>0</v>
      </c>
      <c r="G463" s="2" t="str">
        <f>"02"</f>
        <v>02</v>
      </c>
      <c r="H463" s="3">
        <v>552</v>
      </c>
    </row>
    <row r="464" spans="1:8" x14ac:dyDescent="0.25">
      <c r="A464" s="2" t="str">
        <f>"00024110"</f>
        <v>00024110</v>
      </c>
      <c r="B464" s="2" t="str">
        <f t="shared" si="21"/>
        <v>SG</v>
      </c>
      <c r="C464" s="4" t="s">
        <v>274</v>
      </c>
      <c r="D464" s="4" t="s">
        <v>0</v>
      </c>
      <c r="E464" s="4" t="s">
        <v>12</v>
      </c>
      <c r="F464" s="2" t="s">
        <v>0</v>
      </c>
      <c r="G464" s="2" t="str">
        <f>"02"</f>
        <v>02</v>
      </c>
      <c r="H464" s="3">
        <v>552</v>
      </c>
    </row>
    <row r="465" spans="1:8" ht="29.25" x14ac:dyDescent="0.25">
      <c r="A465" s="2" t="str">
        <f>"00024115"</f>
        <v>00024115</v>
      </c>
      <c r="B465" s="2" t="str">
        <f t="shared" si="21"/>
        <v>SG</v>
      </c>
      <c r="C465" s="4" t="s">
        <v>318</v>
      </c>
      <c r="D465" s="4" t="s">
        <v>0</v>
      </c>
      <c r="E465" s="4" t="s">
        <v>12</v>
      </c>
      <c r="F465" s="2" t="s">
        <v>0</v>
      </c>
      <c r="G465" s="2" t="str">
        <f>"04"</f>
        <v>04</v>
      </c>
      <c r="H465" s="3">
        <v>785</v>
      </c>
    </row>
    <row r="466" spans="1:8" ht="29.25" x14ac:dyDescent="0.25">
      <c r="A466" s="2" t="str">
        <f>"00024116"</f>
        <v>00024116</v>
      </c>
      <c r="B466" s="2" t="str">
        <f t="shared" si="21"/>
        <v>SG</v>
      </c>
      <c r="C466" s="4" t="s">
        <v>318</v>
      </c>
      <c r="D466" s="4" t="s">
        <v>0</v>
      </c>
      <c r="E466" s="4" t="s">
        <v>12</v>
      </c>
      <c r="F466" s="2" t="s">
        <v>0</v>
      </c>
      <c r="G466" s="2" t="str">
        <f>"04"</f>
        <v>04</v>
      </c>
      <c r="H466" s="3">
        <v>785</v>
      </c>
    </row>
    <row r="467" spans="1:8" x14ac:dyDescent="0.25">
      <c r="A467" s="2" t="str">
        <f>"00024120"</f>
        <v>00024120</v>
      </c>
      <c r="B467" s="2" t="str">
        <f t="shared" si="21"/>
        <v>SG</v>
      </c>
      <c r="C467" s="4" t="s">
        <v>319</v>
      </c>
      <c r="D467" s="4" t="s">
        <v>0</v>
      </c>
      <c r="E467" s="4" t="s">
        <v>12</v>
      </c>
      <c r="F467" s="2" t="s">
        <v>0</v>
      </c>
      <c r="G467" s="2" t="str">
        <f>"02"</f>
        <v>02</v>
      </c>
      <c r="H467" s="3">
        <v>552</v>
      </c>
    </row>
    <row r="468" spans="1:8" ht="29.25" x14ac:dyDescent="0.25">
      <c r="A468" s="2" t="str">
        <f>"00024125"</f>
        <v>00024125</v>
      </c>
      <c r="B468" s="2" t="str">
        <f t="shared" si="21"/>
        <v>SG</v>
      </c>
      <c r="C468" s="4" t="s">
        <v>318</v>
      </c>
      <c r="D468" s="4" t="s">
        <v>0</v>
      </c>
      <c r="E468" s="4" t="s">
        <v>12</v>
      </c>
      <c r="F468" s="2" t="s">
        <v>0</v>
      </c>
      <c r="G468" s="2" t="str">
        <f t="shared" ref="G468:G479" si="22">"04"</f>
        <v>04</v>
      </c>
      <c r="H468" s="3">
        <v>785</v>
      </c>
    </row>
    <row r="469" spans="1:8" ht="29.25" x14ac:dyDescent="0.25">
      <c r="A469" s="2" t="str">
        <f>"00024126"</f>
        <v>00024126</v>
      </c>
      <c r="B469" s="2" t="str">
        <f t="shared" si="21"/>
        <v>SG</v>
      </c>
      <c r="C469" s="4" t="s">
        <v>318</v>
      </c>
      <c r="D469" s="4" t="s">
        <v>0</v>
      </c>
      <c r="E469" s="4" t="s">
        <v>12</v>
      </c>
      <c r="F469" s="2" t="s">
        <v>0</v>
      </c>
      <c r="G469" s="2" t="str">
        <f t="shared" si="22"/>
        <v>04</v>
      </c>
      <c r="H469" s="3">
        <v>785</v>
      </c>
    </row>
    <row r="470" spans="1:8" ht="29.25" x14ac:dyDescent="0.25">
      <c r="A470" s="2" t="str">
        <f>"00024130"</f>
        <v>00024130</v>
      </c>
      <c r="B470" s="2" t="str">
        <f t="shared" si="21"/>
        <v>SG</v>
      </c>
      <c r="C470" s="4" t="s">
        <v>320</v>
      </c>
      <c r="D470" s="4" t="s">
        <v>0</v>
      </c>
      <c r="E470" s="4" t="s">
        <v>12</v>
      </c>
      <c r="F470" s="2" t="s">
        <v>0</v>
      </c>
      <c r="G470" s="2" t="str">
        <f t="shared" si="22"/>
        <v>04</v>
      </c>
      <c r="H470" s="3">
        <v>785</v>
      </c>
    </row>
    <row r="471" spans="1:8" ht="29.25" x14ac:dyDescent="0.25">
      <c r="A471" s="2" t="str">
        <f>"00024134"</f>
        <v>00024134</v>
      </c>
      <c r="B471" s="2" t="str">
        <f t="shared" si="21"/>
        <v>SG</v>
      </c>
      <c r="C471" s="4" t="s">
        <v>321</v>
      </c>
      <c r="D471" s="4" t="s">
        <v>0</v>
      </c>
      <c r="E471" s="4" t="s">
        <v>12</v>
      </c>
      <c r="F471" s="2" t="s">
        <v>0</v>
      </c>
      <c r="G471" s="2" t="str">
        <f t="shared" si="22"/>
        <v>04</v>
      </c>
      <c r="H471" s="3">
        <v>785</v>
      </c>
    </row>
    <row r="472" spans="1:8" ht="29.25" x14ac:dyDescent="0.25">
      <c r="A472" s="2" t="str">
        <f>"00024136"</f>
        <v>00024136</v>
      </c>
      <c r="B472" s="2" t="str">
        <f t="shared" si="21"/>
        <v>SG</v>
      </c>
      <c r="C472" s="4" t="s">
        <v>322</v>
      </c>
      <c r="D472" s="4" t="s">
        <v>0</v>
      </c>
      <c r="E472" s="4" t="s">
        <v>12</v>
      </c>
      <c r="F472" s="2" t="s">
        <v>0</v>
      </c>
      <c r="G472" s="2" t="str">
        <f t="shared" si="22"/>
        <v>04</v>
      </c>
      <c r="H472" s="3">
        <v>785</v>
      </c>
    </row>
    <row r="473" spans="1:8" ht="29.25" x14ac:dyDescent="0.25">
      <c r="A473" s="2" t="str">
        <f>"00024138"</f>
        <v>00024138</v>
      </c>
      <c r="B473" s="2" t="str">
        <f t="shared" si="21"/>
        <v>SG</v>
      </c>
      <c r="C473" s="4" t="s">
        <v>323</v>
      </c>
      <c r="D473" s="4" t="s">
        <v>0</v>
      </c>
      <c r="E473" s="4" t="s">
        <v>12</v>
      </c>
      <c r="F473" s="2" t="s">
        <v>0</v>
      </c>
      <c r="G473" s="2" t="str">
        <f t="shared" si="22"/>
        <v>04</v>
      </c>
      <c r="H473" s="3">
        <v>785</v>
      </c>
    </row>
    <row r="474" spans="1:8" ht="29.25" x14ac:dyDescent="0.25">
      <c r="A474" s="2" t="str">
        <f>"00024140"</f>
        <v>00024140</v>
      </c>
      <c r="B474" s="2" t="str">
        <f t="shared" si="21"/>
        <v>SG</v>
      </c>
      <c r="C474" s="4" t="s">
        <v>324</v>
      </c>
      <c r="D474" s="4" t="s">
        <v>0</v>
      </c>
      <c r="E474" s="4" t="s">
        <v>12</v>
      </c>
      <c r="F474" s="2" t="s">
        <v>0</v>
      </c>
      <c r="G474" s="2" t="str">
        <f t="shared" si="22"/>
        <v>04</v>
      </c>
      <c r="H474" s="3">
        <v>785</v>
      </c>
    </row>
    <row r="475" spans="1:8" ht="29.25" x14ac:dyDescent="0.25">
      <c r="A475" s="2" t="str">
        <f>"00024145"</f>
        <v>00024145</v>
      </c>
      <c r="B475" s="2" t="str">
        <f t="shared" si="21"/>
        <v>SG</v>
      </c>
      <c r="C475" s="4" t="s">
        <v>325</v>
      </c>
      <c r="D475" s="4" t="s">
        <v>0</v>
      </c>
      <c r="E475" s="4" t="s">
        <v>12</v>
      </c>
      <c r="F475" s="2" t="s">
        <v>0</v>
      </c>
      <c r="G475" s="2" t="str">
        <f t="shared" si="22"/>
        <v>04</v>
      </c>
      <c r="H475" s="3">
        <v>785</v>
      </c>
    </row>
    <row r="476" spans="1:8" ht="29.25" x14ac:dyDescent="0.25">
      <c r="A476" s="2" t="str">
        <f>"00024147"</f>
        <v>00024147</v>
      </c>
      <c r="B476" s="2" t="str">
        <f t="shared" si="21"/>
        <v>SG</v>
      </c>
      <c r="C476" s="4" t="s">
        <v>326</v>
      </c>
      <c r="D476" s="4" t="s">
        <v>0</v>
      </c>
      <c r="E476" s="4" t="s">
        <v>12</v>
      </c>
      <c r="F476" s="2" t="s">
        <v>0</v>
      </c>
      <c r="G476" s="2" t="str">
        <f t="shared" si="22"/>
        <v>04</v>
      </c>
      <c r="H476" s="3">
        <v>785</v>
      </c>
    </row>
    <row r="477" spans="1:8" x14ac:dyDescent="0.25">
      <c r="A477" s="2" t="str">
        <f>"00024155"</f>
        <v>00024155</v>
      </c>
      <c r="B477" s="2" t="str">
        <f t="shared" si="21"/>
        <v>SG</v>
      </c>
      <c r="C477" s="4" t="s">
        <v>327</v>
      </c>
      <c r="D477" s="4" t="s">
        <v>0</v>
      </c>
      <c r="E477" s="4" t="s">
        <v>12</v>
      </c>
      <c r="F477" s="2" t="s">
        <v>0</v>
      </c>
      <c r="G477" s="2" t="str">
        <f t="shared" si="22"/>
        <v>04</v>
      </c>
      <c r="H477" s="3">
        <v>785</v>
      </c>
    </row>
    <row r="478" spans="1:8" ht="29.25" x14ac:dyDescent="0.25">
      <c r="A478" s="2" t="str">
        <f>"00024160"</f>
        <v>00024160</v>
      </c>
      <c r="B478" s="2" t="str">
        <f t="shared" si="21"/>
        <v>SG</v>
      </c>
      <c r="C478" s="4" t="s">
        <v>328</v>
      </c>
      <c r="D478" s="4" t="s">
        <v>0</v>
      </c>
      <c r="E478" s="4" t="s">
        <v>12</v>
      </c>
      <c r="F478" s="2" t="s">
        <v>0</v>
      </c>
      <c r="G478" s="2" t="str">
        <f t="shared" si="22"/>
        <v>04</v>
      </c>
      <c r="H478" s="3">
        <v>785</v>
      </c>
    </row>
    <row r="479" spans="1:8" ht="29.25" x14ac:dyDescent="0.25">
      <c r="A479" s="2" t="str">
        <f>"00024164"</f>
        <v>00024164</v>
      </c>
      <c r="B479" s="2" t="str">
        <f t="shared" si="21"/>
        <v>SG</v>
      </c>
      <c r="C479" s="4" t="s">
        <v>329</v>
      </c>
      <c r="D479" s="4" t="s">
        <v>0</v>
      </c>
      <c r="E479" s="4" t="s">
        <v>12</v>
      </c>
      <c r="F479" s="2" t="s">
        <v>0</v>
      </c>
      <c r="G479" s="2" t="str">
        <f t="shared" si="22"/>
        <v>04</v>
      </c>
      <c r="H479" s="3">
        <v>785</v>
      </c>
    </row>
    <row r="480" spans="1:8" ht="29.25" x14ac:dyDescent="0.25">
      <c r="A480" s="2" t="str">
        <f>"00024201"</f>
        <v>00024201</v>
      </c>
      <c r="B480" s="2" t="str">
        <f t="shared" si="21"/>
        <v>SG</v>
      </c>
      <c r="C480" s="4" t="s">
        <v>330</v>
      </c>
      <c r="D480" s="4" t="s">
        <v>0</v>
      </c>
      <c r="E480" s="4" t="s">
        <v>12</v>
      </c>
      <c r="F480" s="2" t="s">
        <v>0</v>
      </c>
      <c r="G480" s="2" t="str">
        <f>"01"</f>
        <v>01</v>
      </c>
      <c r="H480" s="3">
        <v>413</v>
      </c>
    </row>
    <row r="481" spans="1:8" ht="29.25" x14ac:dyDescent="0.25">
      <c r="A481" s="2" t="str">
        <f>"00024301"</f>
        <v>00024301</v>
      </c>
      <c r="B481" s="2" t="str">
        <f t="shared" si="21"/>
        <v>SG</v>
      </c>
      <c r="C481" s="4" t="s">
        <v>331</v>
      </c>
      <c r="D481" s="4" t="s">
        <v>0</v>
      </c>
      <c r="E481" s="4" t="s">
        <v>12</v>
      </c>
      <c r="F481" s="2" t="s">
        <v>0</v>
      </c>
      <c r="G481" s="2" t="str">
        <f>"04"</f>
        <v>04</v>
      </c>
      <c r="H481" s="3">
        <v>785</v>
      </c>
    </row>
    <row r="482" spans="1:8" x14ac:dyDescent="0.25">
      <c r="A482" s="2" t="str">
        <f>"00024305"</f>
        <v>00024305</v>
      </c>
      <c r="B482" s="2" t="str">
        <f t="shared" si="21"/>
        <v>SG</v>
      </c>
      <c r="C482" s="4" t="s">
        <v>332</v>
      </c>
      <c r="D482" s="4" t="s">
        <v>0</v>
      </c>
      <c r="E482" s="4" t="s">
        <v>12</v>
      </c>
      <c r="F482" s="2" t="s">
        <v>0</v>
      </c>
      <c r="G482" s="2" t="str">
        <f>"04"</f>
        <v>04</v>
      </c>
      <c r="H482" s="3">
        <v>785</v>
      </c>
    </row>
    <row r="483" spans="1:8" x14ac:dyDescent="0.25">
      <c r="A483" s="2" t="str">
        <f>"00024310"</f>
        <v>00024310</v>
      </c>
      <c r="B483" s="2" t="str">
        <f t="shared" si="21"/>
        <v>SG</v>
      </c>
      <c r="C483" s="4" t="s">
        <v>333</v>
      </c>
      <c r="D483" s="4" t="s">
        <v>0</v>
      </c>
      <c r="E483" s="4" t="s">
        <v>12</v>
      </c>
      <c r="F483" s="2" t="s">
        <v>0</v>
      </c>
      <c r="G483" s="2" t="str">
        <f>"02"</f>
        <v>02</v>
      </c>
      <c r="H483" s="3">
        <v>552</v>
      </c>
    </row>
    <row r="484" spans="1:8" x14ac:dyDescent="0.25">
      <c r="A484" s="2" t="str">
        <f>"00024320"</f>
        <v>00024320</v>
      </c>
      <c r="B484" s="2" t="str">
        <f t="shared" si="21"/>
        <v>SG</v>
      </c>
      <c r="C484" s="4" t="s">
        <v>334</v>
      </c>
      <c r="D484" s="4" t="s">
        <v>0</v>
      </c>
      <c r="E484" s="4" t="s">
        <v>12</v>
      </c>
      <c r="F484" s="2" t="s">
        <v>0</v>
      </c>
      <c r="G484" s="2" t="str">
        <f>"04"</f>
        <v>04</v>
      </c>
      <c r="H484" s="3">
        <v>785</v>
      </c>
    </row>
    <row r="485" spans="1:8" x14ac:dyDescent="0.25">
      <c r="A485" s="2" t="str">
        <f>"00024330"</f>
        <v>00024330</v>
      </c>
      <c r="B485" s="2" t="str">
        <f t="shared" si="21"/>
        <v>SG</v>
      </c>
      <c r="C485" s="4" t="s">
        <v>335</v>
      </c>
      <c r="D485" s="4" t="s">
        <v>0</v>
      </c>
      <c r="E485" s="4" t="s">
        <v>12</v>
      </c>
      <c r="F485" s="2" t="s">
        <v>0</v>
      </c>
      <c r="G485" s="2" t="str">
        <f>"09"</f>
        <v>09</v>
      </c>
      <c r="H485" s="3">
        <v>1662</v>
      </c>
    </row>
    <row r="486" spans="1:8" x14ac:dyDescent="0.25">
      <c r="A486" s="2" t="str">
        <f>"00024331"</f>
        <v>00024331</v>
      </c>
      <c r="B486" s="2" t="str">
        <f t="shared" si="21"/>
        <v>SG</v>
      </c>
      <c r="C486" s="4" t="s">
        <v>335</v>
      </c>
      <c r="D486" s="4" t="s">
        <v>0</v>
      </c>
      <c r="E486" s="4" t="s">
        <v>12</v>
      </c>
      <c r="F486" s="2" t="s">
        <v>0</v>
      </c>
      <c r="G486" s="2" t="str">
        <f>"07"</f>
        <v>07</v>
      </c>
      <c r="H486" s="3">
        <v>1233</v>
      </c>
    </row>
    <row r="487" spans="1:8" x14ac:dyDescent="0.25">
      <c r="A487" s="2" t="str">
        <f>"00024332"</f>
        <v>00024332</v>
      </c>
      <c r="B487" s="2" t="str">
        <f t="shared" si="21"/>
        <v>SG</v>
      </c>
      <c r="C487" s="4" t="s">
        <v>336</v>
      </c>
      <c r="D487" s="4" t="s">
        <v>0</v>
      </c>
      <c r="E487" s="4" t="s">
        <v>12</v>
      </c>
      <c r="F487" s="2" t="s">
        <v>0</v>
      </c>
      <c r="G487" s="2" t="str">
        <f>"04"</f>
        <v>04</v>
      </c>
      <c r="H487" s="3">
        <v>785</v>
      </c>
    </row>
    <row r="488" spans="1:8" x14ac:dyDescent="0.25">
      <c r="A488" s="2" t="str">
        <f>"00024340"</f>
        <v>00024340</v>
      </c>
      <c r="B488" s="2" t="str">
        <f t="shared" si="21"/>
        <v>SG</v>
      </c>
      <c r="C488" s="4" t="s">
        <v>337</v>
      </c>
      <c r="D488" s="4" t="s">
        <v>0</v>
      </c>
      <c r="E488" s="4" t="s">
        <v>12</v>
      </c>
      <c r="F488" s="2" t="s">
        <v>0</v>
      </c>
      <c r="G488" s="2" t="str">
        <f>"07"</f>
        <v>07</v>
      </c>
      <c r="H488" s="3">
        <v>1233</v>
      </c>
    </row>
    <row r="489" spans="1:8" ht="29.25" x14ac:dyDescent="0.25">
      <c r="A489" s="2" t="str">
        <f>"00024341"</f>
        <v>00024341</v>
      </c>
      <c r="B489" s="2" t="str">
        <f t="shared" si="21"/>
        <v>SG</v>
      </c>
      <c r="C489" s="4" t="s">
        <v>338</v>
      </c>
      <c r="D489" s="4" t="s">
        <v>0</v>
      </c>
      <c r="E489" s="4" t="s">
        <v>12</v>
      </c>
      <c r="F489" s="2" t="s">
        <v>0</v>
      </c>
      <c r="G489" s="2" t="str">
        <f>"07"</f>
        <v>07</v>
      </c>
      <c r="H489" s="3">
        <v>1233</v>
      </c>
    </row>
    <row r="490" spans="1:8" ht="29.25" x14ac:dyDescent="0.25">
      <c r="A490" s="2" t="str">
        <f>"00024342"</f>
        <v>00024342</v>
      </c>
      <c r="B490" s="2" t="str">
        <f t="shared" si="21"/>
        <v>SG</v>
      </c>
      <c r="C490" s="4" t="s">
        <v>339</v>
      </c>
      <c r="D490" s="4" t="s">
        <v>0</v>
      </c>
      <c r="E490" s="4" t="s">
        <v>12</v>
      </c>
      <c r="F490" s="2" t="s">
        <v>0</v>
      </c>
      <c r="G490" s="2" t="str">
        <f>"07"</f>
        <v>07</v>
      </c>
      <c r="H490" s="3">
        <v>1233</v>
      </c>
    </row>
    <row r="491" spans="1:8" ht="57.75" x14ac:dyDescent="0.25">
      <c r="A491" s="2" t="str">
        <f>"00024343"</f>
        <v>00024343</v>
      </c>
      <c r="B491" s="2" t="str">
        <f t="shared" si="21"/>
        <v>SG</v>
      </c>
      <c r="C491" s="4" t="s">
        <v>340</v>
      </c>
      <c r="D491" s="4" t="s">
        <v>0</v>
      </c>
      <c r="E491" s="4" t="s">
        <v>12</v>
      </c>
      <c r="F491" s="2" t="s">
        <v>0</v>
      </c>
      <c r="G491" s="2" t="str">
        <f>"04"</f>
        <v>04</v>
      </c>
      <c r="H491" s="3">
        <v>785</v>
      </c>
    </row>
    <row r="492" spans="1:8" ht="29.25" x14ac:dyDescent="0.25">
      <c r="A492" s="2" t="str">
        <f>"00024345"</f>
        <v>00024345</v>
      </c>
      <c r="B492" s="2" t="str">
        <f t="shared" si="21"/>
        <v>SG</v>
      </c>
      <c r="C492" s="4" t="s">
        <v>341</v>
      </c>
      <c r="D492" s="4" t="s">
        <v>0</v>
      </c>
      <c r="E492" s="4" t="s">
        <v>12</v>
      </c>
      <c r="F492" s="2" t="s">
        <v>0</v>
      </c>
      <c r="G492" s="2" t="str">
        <f>"04"</f>
        <v>04</v>
      </c>
      <c r="H492" s="3">
        <v>785</v>
      </c>
    </row>
    <row r="493" spans="1:8" ht="72" x14ac:dyDescent="0.25">
      <c r="A493" s="2" t="str">
        <f>"00024357"</f>
        <v>00024357</v>
      </c>
      <c r="B493" s="2" t="str">
        <f t="shared" si="21"/>
        <v>SG</v>
      </c>
      <c r="C493" s="4" t="s">
        <v>342</v>
      </c>
      <c r="D493" s="4" t="s">
        <v>0</v>
      </c>
      <c r="E493" s="4" t="s">
        <v>12</v>
      </c>
      <c r="F493" s="2" t="s">
        <v>0</v>
      </c>
      <c r="G493" s="2" t="str">
        <f>"03"</f>
        <v>03</v>
      </c>
      <c r="H493" s="3">
        <v>637</v>
      </c>
    </row>
    <row r="494" spans="1:8" ht="43.5" x14ac:dyDescent="0.25">
      <c r="A494" s="2" t="str">
        <f>"00024358"</f>
        <v>00024358</v>
      </c>
      <c r="B494" s="2" t="str">
        <f t="shared" si="21"/>
        <v>SG</v>
      </c>
      <c r="C494" s="4" t="s">
        <v>343</v>
      </c>
      <c r="D494" s="4" t="s">
        <v>0</v>
      </c>
      <c r="E494" s="4" t="s">
        <v>12</v>
      </c>
      <c r="F494" s="2" t="s">
        <v>0</v>
      </c>
      <c r="G494" s="2" t="str">
        <f>"03"</f>
        <v>03</v>
      </c>
      <c r="H494" s="3">
        <v>637</v>
      </c>
    </row>
    <row r="495" spans="1:8" ht="57.75" x14ac:dyDescent="0.25">
      <c r="A495" s="2" t="str">
        <f>"00024359"</f>
        <v>00024359</v>
      </c>
      <c r="B495" s="2" t="str">
        <f t="shared" si="21"/>
        <v>SG</v>
      </c>
      <c r="C495" s="4" t="s">
        <v>344</v>
      </c>
      <c r="D495" s="4" t="s">
        <v>0</v>
      </c>
      <c r="E495" s="4" t="s">
        <v>12</v>
      </c>
      <c r="F495" s="2" t="s">
        <v>0</v>
      </c>
      <c r="G495" s="2" t="str">
        <f>"03"</f>
        <v>03</v>
      </c>
      <c r="H495" s="3">
        <v>637</v>
      </c>
    </row>
    <row r="496" spans="1:8" ht="29.25" x14ac:dyDescent="0.25">
      <c r="A496" s="2" t="str">
        <f>"00024360"</f>
        <v>00024360</v>
      </c>
      <c r="B496" s="2" t="str">
        <f t="shared" si="21"/>
        <v>SG</v>
      </c>
      <c r="C496" s="4" t="s">
        <v>345</v>
      </c>
      <c r="D496" s="4" t="s">
        <v>0</v>
      </c>
      <c r="E496" s="4" t="s">
        <v>12</v>
      </c>
      <c r="F496" s="2" t="s">
        <v>0</v>
      </c>
      <c r="G496" s="2" t="str">
        <f>"06"</f>
        <v>06</v>
      </c>
      <c r="H496" s="3">
        <v>1000</v>
      </c>
    </row>
    <row r="497" spans="1:8" ht="29.25" x14ac:dyDescent="0.25">
      <c r="A497" s="2" t="str">
        <f>"00024361"</f>
        <v>00024361</v>
      </c>
      <c r="B497" s="2" t="str">
        <f t="shared" si="21"/>
        <v>SG</v>
      </c>
      <c r="C497" s="4" t="s">
        <v>345</v>
      </c>
      <c r="D497" s="4" t="s">
        <v>0</v>
      </c>
      <c r="E497" s="4" t="s">
        <v>12</v>
      </c>
      <c r="F497" s="2" t="s">
        <v>0</v>
      </c>
      <c r="G497" s="2" t="str">
        <f>"09"</f>
        <v>09</v>
      </c>
      <c r="H497" s="3">
        <v>1662</v>
      </c>
    </row>
    <row r="498" spans="1:8" ht="29.25" x14ac:dyDescent="0.25">
      <c r="A498" s="2" t="str">
        <f>"00024362"</f>
        <v>00024362</v>
      </c>
      <c r="B498" s="2" t="str">
        <f t="shared" si="21"/>
        <v>SG</v>
      </c>
      <c r="C498" s="4" t="s">
        <v>345</v>
      </c>
      <c r="D498" s="4" t="s">
        <v>0</v>
      </c>
      <c r="E498" s="4" t="s">
        <v>12</v>
      </c>
      <c r="F498" s="2" t="s">
        <v>0</v>
      </c>
      <c r="G498" s="2" t="str">
        <f>"06"</f>
        <v>06</v>
      </c>
      <c r="H498" s="3">
        <v>1000</v>
      </c>
    </row>
    <row r="499" spans="1:8" x14ac:dyDescent="0.25">
      <c r="A499" s="2" t="str">
        <f>"00024363"</f>
        <v>00024363</v>
      </c>
      <c r="B499" s="2" t="str">
        <f t="shared" si="21"/>
        <v>SG</v>
      </c>
      <c r="C499" s="4" t="s">
        <v>346</v>
      </c>
      <c r="D499" s="4" t="s">
        <v>0</v>
      </c>
      <c r="E499" s="4" t="s">
        <v>12</v>
      </c>
      <c r="F499" s="2" t="s">
        <v>0</v>
      </c>
      <c r="G499" s="2" t="str">
        <f>"09"</f>
        <v>09</v>
      </c>
      <c r="H499" s="3">
        <v>1662</v>
      </c>
    </row>
    <row r="500" spans="1:8" ht="29.25" x14ac:dyDescent="0.25">
      <c r="A500" s="2" t="str">
        <f>"00024365"</f>
        <v>00024365</v>
      </c>
      <c r="B500" s="2" t="str">
        <f t="shared" si="21"/>
        <v>SG</v>
      </c>
      <c r="C500" s="4" t="s">
        <v>347</v>
      </c>
      <c r="D500" s="4" t="s">
        <v>0</v>
      </c>
      <c r="E500" s="4" t="s">
        <v>12</v>
      </c>
      <c r="F500" s="2" t="s">
        <v>0</v>
      </c>
      <c r="G500" s="2" t="str">
        <f>"09"</f>
        <v>09</v>
      </c>
      <c r="H500" s="3">
        <v>1662</v>
      </c>
    </row>
    <row r="501" spans="1:8" ht="29.25" x14ac:dyDescent="0.25">
      <c r="A501" s="2" t="str">
        <f>"00024366"</f>
        <v>00024366</v>
      </c>
      <c r="B501" s="2" t="str">
        <f t="shared" si="21"/>
        <v>SG</v>
      </c>
      <c r="C501" s="4" t="s">
        <v>347</v>
      </c>
      <c r="D501" s="4" t="s">
        <v>0</v>
      </c>
      <c r="E501" s="4" t="s">
        <v>12</v>
      </c>
      <c r="F501" s="2" t="s">
        <v>0</v>
      </c>
      <c r="G501" s="2" t="str">
        <f>"09"</f>
        <v>09</v>
      </c>
      <c r="H501" s="3">
        <v>1662</v>
      </c>
    </row>
    <row r="502" spans="1:8" x14ac:dyDescent="0.25">
      <c r="A502" s="2" t="str">
        <f>"00024400"</f>
        <v>00024400</v>
      </c>
      <c r="B502" s="2" t="str">
        <f t="shared" si="21"/>
        <v>SG</v>
      </c>
      <c r="C502" s="4" t="s">
        <v>348</v>
      </c>
      <c r="D502" s="4" t="s">
        <v>0</v>
      </c>
      <c r="E502" s="4" t="s">
        <v>12</v>
      </c>
      <c r="F502" s="2" t="s">
        <v>0</v>
      </c>
      <c r="G502" s="2" t="str">
        <f>"07"</f>
        <v>07</v>
      </c>
      <c r="H502" s="3">
        <v>1233</v>
      </c>
    </row>
    <row r="503" spans="1:8" x14ac:dyDescent="0.25">
      <c r="A503" s="2" t="str">
        <f>"00024410"</f>
        <v>00024410</v>
      </c>
      <c r="B503" s="2" t="str">
        <f t="shared" si="21"/>
        <v>SG</v>
      </c>
      <c r="C503" s="4" t="s">
        <v>348</v>
      </c>
      <c r="D503" s="4" t="s">
        <v>0</v>
      </c>
      <c r="E503" s="4" t="s">
        <v>12</v>
      </c>
      <c r="F503" s="2" t="s">
        <v>0</v>
      </c>
      <c r="G503" s="2" t="str">
        <f>"07"</f>
        <v>07</v>
      </c>
      <c r="H503" s="3">
        <v>1233</v>
      </c>
    </row>
    <row r="504" spans="1:8" x14ac:dyDescent="0.25">
      <c r="A504" s="2" t="str">
        <f>"00024420"</f>
        <v>00024420</v>
      </c>
      <c r="B504" s="2" t="str">
        <f t="shared" si="21"/>
        <v>SG</v>
      </c>
      <c r="C504" s="4" t="s">
        <v>348</v>
      </c>
      <c r="D504" s="4" t="s">
        <v>0</v>
      </c>
      <c r="E504" s="4" t="s">
        <v>12</v>
      </c>
      <c r="F504" s="2" t="s">
        <v>0</v>
      </c>
      <c r="G504" s="2" t="str">
        <f>"07"</f>
        <v>07</v>
      </c>
      <c r="H504" s="3">
        <v>1233</v>
      </c>
    </row>
    <row r="505" spans="1:8" x14ac:dyDescent="0.25">
      <c r="A505" s="2" t="str">
        <f>"00024430"</f>
        <v>00024430</v>
      </c>
      <c r="B505" s="2" t="str">
        <f t="shared" si="21"/>
        <v>SG</v>
      </c>
      <c r="C505" s="4" t="s">
        <v>349</v>
      </c>
      <c r="D505" s="4" t="s">
        <v>0</v>
      </c>
      <c r="E505" s="4" t="s">
        <v>12</v>
      </c>
      <c r="F505" s="2" t="s">
        <v>0</v>
      </c>
      <c r="G505" s="2" t="str">
        <f>"09"</f>
        <v>09</v>
      </c>
      <c r="H505" s="3">
        <v>1662</v>
      </c>
    </row>
    <row r="506" spans="1:8" ht="29.25" x14ac:dyDescent="0.25">
      <c r="A506" s="2" t="str">
        <f>"00024435"</f>
        <v>00024435</v>
      </c>
      <c r="B506" s="2" t="str">
        <f t="shared" si="21"/>
        <v>SG</v>
      </c>
      <c r="C506" s="4" t="s">
        <v>350</v>
      </c>
      <c r="D506" s="4" t="s">
        <v>0</v>
      </c>
      <c r="E506" s="4" t="s">
        <v>12</v>
      </c>
      <c r="F506" s="2" t="s">
        <v>0</v>
      </c>
      <c r="G506" s="2" t="str">
        <f>"09"</f>
        <v>09</v>
      </c>
      <c r="H506" s="3">
        <v>1662</v>
      </c>
    </row>
    <row r="507" spans="1:8" x14ac:dyDescent="0.25">
      <c r="A507" s="2" t="str">
        <f>"00024470"</f>
        <v>00024470</v>
      </c>
      <c r="B507" s="2" t="str">
        <f t="shared" si="21"/>
        <v>SG</v>
      </c>
      <c r="C507" s="4" t="s">
        <v>351</v>
      </c>
      <c r="D507" s="4" t="s">
        <v>0</v>
      </c>
      <c r="E507" s="4" t="s">
        <v>12</v>
      </c>
      <c r="F507" s="2" t="s">
        <v>0</v>
      </c>
      <c r="G507" s="2" t="str">
        <f>"07"</f>
        <v>07</v>
      </c>
      <c r="H507" s="3">
        <v>1233</v>
      </c>
    </row>
    <row r="508" spans="1:8" ht="29.25" x14ac:dyDescent="0.25">
      <c r="A508" s="2" t="str">
        <f>"00024495"</f>
        <v>00024495</v>
      </c>
      <c r="B508" s="2" t="str">
        <f t="shared" si="21"/>
        <v>SG</v>
      </c>
      <c r="C508" s="4" t="s">
        <v>352</v>
      </c>
      <c r="D508" s="4" t="s">
        <v>0</v>
      </c>
      <c r="E508" s="4" t="s">
        <v>12</v>
      </c>
      <c r="F508" s="2" t="s">
        <v>0</v>
      </c>
      <c r="G508" s="2" t="str">
        <f>"04"</f>
        <v>04</v>
      </c>
      <c r="H508" s="3">
        <v>785</v>
      </c>
    </row>
    <row r="509" spans="1:8" x14ac:dyDescent="0.25">
      <c r="A509" s="2" t="str">
        <f>"00024498"</f>
        <v>00024498</v>
      </c>
      <c r="B509" s="2" t="str">
        <f t="shared" si="21"/>
        <v>SG</v>
      </c>
      <c r="C509" s="4" t="s">
        <v>353</v>
      </c>
      <c r="D509" s="4" t="s">
        <v>0</v>
      </c>
      <c r="E509" s="4" t="s">
        <v>12</v>
      </c>
      <c r="F509" s="2" t="s">
        <v>0</v>
      </c>
      <c r="G509" s="2" t="str">
        <f>"09"</f>
        <v>09</v>
      </c>
      <c r="H509" s="3">
        <v>1662</v>
      </c>
    </row>
    <row r="510" spans="1:8" ht="29.25" x14ac:dyDescent="0.25">
      <c r="A510" s="2" t="str">
        <f>"00024500"</f>
        <v>00024500</v>
      </c>
      <c r="B510" s="2" t="str">
        <f t="shared" si="21"/>
        <v>SG</v>
      </c>
      <c r="C510" s="4" t="s">
        <v>298</v>
      </c>
      <c r="D510" s="4" t="s">
        <v>0</v>
      </c>
      <c r="E510" s="4" t="s">
        <v>12</v>
      </c>
      <c r="F510" s="2" t="s">
        <v>0</v>
      </c>
      <c r="G510" s="2" t="str">
        <f>"01"</f>
        <v>01</v>
      </c>
      <c r="H510" s="3">
        <v>413</v>
      </c>
    </row>
    <row r="511" spans="1:8" ht="29.25" x14ac:dyDescent="0.25">
      <c r="A511" s="2" t="str">
        <f>"00024505"</f>
        <v>00024505</v>
      </c>
      <c r="B511" s="2" t="str">
        <f t="shared" si="21"/>
        <v>SG</v>
      </c>
      <c r="C511" s="4" t="s">
        <v>298</v>
      </c>
      <c r="D511" s="4" t="s">
        <v>0</v>
      </c>
      <c r="E511" s="4" t="s">
        <v>12</v>
      </c>
      <c r="F511" s="2" t="s">
        <v>0</v>
      </c>
      <c r="G511" s="2" t="str">
        <f>"01"</f>
        <v>01</v>
      </c>
      <c r="H511" s="3">
        <v>413</v>
      </c>
    </row>
    <row r="512" spans="1:8" ht="29.25" x14ac:dyDescent="0.25">
      <c r="A512" s="2" t="str">
        <f>"00024515"</f>
        <v>00024515</v>
      </c>
      <c r="B512" s="2" t="str">
        <f t="shared" si="21"/>
        <v>SG</v>
      </c>
      <c r="C512" s="4" t="s">
        <v>298</v>
      </c>
      <c r="D512" s="4" t="s">
        <v>0</v>
      </c>
      <c r="E512" s="4" t="s">
        <v>12</v>
      </c>
      <c r="F512" s="2" t="s">
        <v>0</v>
      </c>
      <c r="G512" s="2" t="str">
        <f>"09"</f>
        <v>09</v>
      </c>
      <c r="H512" s="3">
        <v>1662</v>
      </c>
    </row>
    <row r="513" spans="1:8" ht="29.25" x14ac:dyDescent="0.25">
      <c r="A513" s="2" t="str">
        <f>"00024516"</f>
        <v>00024516</v>
      </c>
      <c r="B513" s="2" t="str">
        <f t="shared" si="21"/>
        <v>SG</v>
      </c>
      <c r="C513" s="4" t="s">
        <v>298</v>
      </c>
      <c r="D513" s="4" t="s">
        <v>0</v>
      </c>
      <c r="E513" s="4" t="s">
        <v>12</v>
      </c>
      <c r="F513" s="2" t="s">
        <v>0</v>
      </c>
      <c r="G513" s="2" t="str">
        <f>"09"</f>
        <v>09</v>
      </c>
      <c r="H513" s="3">
        <v>1662</v>
      </c>
    </row>
    <row r="514" spans="1:8" ht="29.25" x14ac:dyDescent="0.25">
      <c r="A514" s="2" t="str">
        <f>"00024530"</f>
        <v>00024530</v>
      </c>
      <c r="B514" s="2" t="str">
        <f t="shared" si="21"/>
        <v>SG</v>
      </c>
      <c r="C514" s="4" t="s">
        <v>298</v>
      </c>
      <c r="D514" s="4" t="s">
        <v>0</v>
      </c>
      <c r="E514" s="4" t="s">
        <v>12</v>
      </c>
      <c r="F514" s="2" t="s">
        <v>0</v>
      </c>
      <c r="G514" s="2" t="str">
        <f>"01"</f>
        <v>01</v>
      </c>
      <c r="H514" s="3">
        <v>413</v>
      </c>
    </row>
    <row r="515" spans="1:8" ht="29.25" x14ac:dyDescent="0.25">
      <c r="A515" s="2" t="str">
        <f>"00024535"</f>
        <v>00024535</v>
      </c>
      <c r="B515" s="2" t="str">
        <f t="shared" si="21"/>
        <v>SG</v>
      </c>
      <c r="C515" s="4" t="s">
        <v>298</v>
      </c>
      <c r="D515" s="4" t="s">
        <v>0</v>
      </c>
      <c r="E515" s="4" t="s">
        <v>12</v>
      </c>
      <c r="F515" s="2" t="s">
        <v>0</v>
      </c>
      <c r="G515" s="2" t="str">
        <f>"01"</f>
        <v>01</v>
      </c>
      <c r="H515" s="3">
        <v>413</v>
      </c>
    </row>
    <row r="516" spans="1:8" ht="29.25" x14ac:dyDescent="0.25">
      <c r="A516" s="2" t="str">
        <f>"00024538"</f>
        <v>00024538</v>
      </c>
      <c r="B516" s="2" t="str">
        <f t="shared" si="21"/>
        <v>SG</v>
      </c>
      <c r="C516" s="4" t="s">
        <v>298</v>
      </c>
      <c r="D516" s="4" t="s">
        <v>0</v>
      </c>
      <c r="E516" s="4" t="s">
        <v>12</v>
      </c>
      <c r="F516" s="2" t="s">
        <v>0</v>
      </c>
      <c r="G516" s="2" t="str">
        <f>"03"</f>
        <v>03</v>
      </c>
      <c r="H516" s="3">
        <v>637</v>
      </c>
    </row>
    <row r="517" spans="1:8" ht="29.25" x14ac:dyDescent="0.25">
      <c r="A517" s="2" t="str">
        <f>"00024545"</f>
        <v>00024545</v>
      </c>
      <c r="B517" s="2" t="str">
        <f t="shared" si="21"/>
        <v>SG</v>
      </c>
      <c r="C517" s="4" t="s">
        <v>298</v>
      </c>
      <c r="D517" s="4" t="s">
        <v>0</v>
      </c>
      <c r="E517" s="4" t="s">
        <v>12</v>
      </c>
      <c r="F517" s="2" t="s">
        <v>0</v>
      </c>
      <c r="G517" s="2" t="str">
        <f>"09"</f>
        <v>09</v>
      </c>
      <c r="H517" s="3">
        <v>1662</v>
      </c>
    </row>
    <row r="518" spans="1:8" ht="29.25" x14ac:dyDescent="0.25">
      <c r="A518" s="2" t="str">
        <f>"00024546"</f>
        <v>00024546</v>
      </c>
      <c r="B518" s="2" t="str">
        <f t="shared" si="21"/>
        <v>SG</v>
      </c>
      <c r="C518" s="4" t="s">
        <v>298</v>
      </c>
      <c r="D518" s="4" t="s">
        <v>0</v>
      </c>
      <c r="E518" s="4" t="s">
        <v>12</v>
      </c>
      <c r="F518" s="2" t="s">
        <v>0</v>
      </c>
      <c r="G518" s="2" t="str">
        <f>"09"</f>
        <v>09</v>
      </c>
      <c r="H518" s="3">
        <v>1662</v>
      </c>
    </row>
    <row r="519" spans="1:8" ht="29.25" x14ac:dyDescent="0.25">
      <c r="A519" s="2" t="str">
        <f>"00024560"</f>
        <v>00024560</v>
      </c>
      <c r="B519" s="2" t="str">
        <f t="shared" si="21"/>
        <v>SG</v>
      </c>
      <c r="C519" s="4" t="s">
        <v>298</v>
      </c>
      <c r="D519" s="4" t="s">
        <v>0</v>
      </c>
      <c r="E519" s="4" t="s">
        <v>12</v>
      </c>
      <c r="F519" s="2" t="s">
        <v>0</v>
      </c>
      <c r="G519" s="2" t="str">
        <f>"01"</f>
        <v>01</v>
      </c>
      <c r="H519" s="3">
        <v>413</v>
      </c>
    </row>
    <row r="520" spans="1:8" ht="29.25" x14ac:dyDescent="0.25">
      <c r="A520" s="2" t="str">
        <f>"00024565"</f>
        <v>00024565</v>
      </c>
      <c r="B520" s="2" t="str">
        <f t="shared" si="21"/>
        <v>SG</v>
      </c>
      <c r="C520" s="4" t="s">
        <v>298</v>
      </c>
      <c r="D520" s="4" t="s">
        <v>0</v>
      </c>
      <c r="E520" s="4" t="s">
        <v>12</v>
      </c>
      <c r="F520" s="2" t="s">
        <v>0</v>
      </c>
      <c r="G520" s="2" t="str">
        <f>"01"</f>
        <v>01</v>
      </c>
      <c r="H520" s="3">
        <v>413</v>
      </c>
    </row>
    <row r="521" spans="1:8" ht="29.25" x14ac:dyDescent="0.25">
      <c r="A521" s="2" t="str">
        <f>"00024566"</f>
        <v>00024566</v>
      </c>
      <c r="B521" s="2" t="str">
        <f t="shared" si="21"/>
        <v>SG</v>
      </c>
      <c r="C521" s="4" t="s">
        <v>298</v>
      </c>
      <c r="D521" s="4" t="s">
        <v>0</v>
      </c>
      <c r="E521" s="4" t="s">
        <v>12</v>
      </c>
      <c r="F521" s="2" t="s">
        <v>0</v>
      </c>
      <c r="G521" s="2" t="str">
        <f>"03"</f>
        <v>03</v>
      </c>
      <c r="H521" s="3">
        <v>637</v>
      </c>
    </row>
    <row r="522" spans="1:8" ht="29.25" x14ac:dyDescent="0.25">
      <c r="A522" s="2" t="str">
        <f>"00024575"</f>
        <v>00024575</v>
      </c>
      <c r="B522" s="2" t="str">
        <f t="shared" si="21"/>
        <v>SG</v>
      </c>
      <c r="C522" s="4" t="s">
        <v>298</v>
      </c>
      <c r="D522" s="4" t="s">
        <v>0</v>
      </c>
      <c r="E522" s="4" t="s">
        <v>12</v>
      </c>
      <c r="F522" s="2" t="s">
        <v>0</v>
      </c>
      <c r="G522" s="2" t="str">
        <f>"09"</f>
        <v>09</v>
      </c>
      <c r="H522" s="3">
        <v>1662</v>
      </c>
    </row>
    <row r="523" spans="1:8" ht="29.25" x14ac:dyDescent="0.25">
      <c r="A523" s="2" t="str">
        <f>"00024576"</f>
        <v>00024576</v>
      </c>
      <c r="B523" s="2" t="str">
        <f t="shared" si="21"/>
        <v>SG</v>
      </c>
      <c r="C523" s="4" t="s">
        <v>298</v>
      </c>
      <c r="D523" s="4" t="s">
        <v>0</v>
      </c>
      <c r="E523" s="4" t="s">
        <v>12</v>
      </c>
      <c r="F523" s="2" t="s">
        <v>0</v>
      </c>
      <c r="G523" s="2" t="str">
        <f>"01"</f>
        <v>01</v>
      </c>
      <c r="H523" s="3">
        <v>413</v>
      </c>
    </row>
    <row r="524" spans="1:8" ht="29.25" x14ac:dyDescent="0.25">
      <c r="A524" s="2" t="str">
        <f>"00024577"</f>
        <v>00024577</v>
      </c>
      <c r="B524" s="2" t="str">
        <f t="shared" si="21"/>
        <v>SG</v>
      </c>
      <c r="C524" s="4" t="s">
        <v>298</v>
      </c>
      <c r="D524" s="4" t="s">
        <v>0</v>
      </c>
      <c r="E524" s="4" t="s">
        <v>12</v>
      </c>
      <c r="F524" s="2" t="s">
        <v>0</v>
      </c>
      <c r="G524" s="2" t="str">
        <f>"01"</f>
        <v>01</v>
      </c>
      <c r="H524" s="3">
        <v>413</v>
      </c>
    </row>
    <row r="525" spans="1:8" ht="29.25" x14ac:dyDescent="0.25">
      <c r="A525" s="2" t="str">
        <f>"00024579"</f>
        <v>00024579</v>
      </c>
      <c r="B525" s="2" t="str">
        <f t="shared" ref="B525:B588" si="23">"SG"</f>
        <v>SG</v>
      </c>
      <c r="C525" s="4" t="s">
        <v>298</v>
      </c>
      <c r="D525" s="4" t="s">
        <v>0</v>
      </c>
      <c r="E525" s="4" t="s">
        <v>12</v>
      </c>
      <c r="F525" s="2" t="s">
        <v>0</v>
      </c>
      <c r="G525" s="2" t="str">
        <f>"09"</f>
        <v>09</v>
      </c>
      <c r="H525" s="3">
        <v>1662</v>
      </c>
    </row>
    <row r="526" spans="1:8" ht="29.25" x14ac:dyDescent="0.25">
      <c r="A526" s="2" t="str">
        <f>"00024582"</f>
        <v>00024582</v>
      </c>
      <c r="B526" s="2" t="str">
        <f t="shared" si="23"/>
        <v>SG</v>
      </c>
      <c r="C526" s="4" t="s">
        <v>298</v>
      </c>
      <c r="D526" s="4" t="s">
        <v>0</v>
      </c>
      <c r="E526" s="4" t="s">
        <v>12</v>
      </c>
      <c r="F526" s="2" t="s">
        <v>0</v>
      </c>
      <c r="G526" s="2" t="str">
        <f>"03"</f>
        <v>03</v>
      </c>
      <c r="H526" s="3">
        <v>637</v>
      </c>
    </row>
    <row r="527" spans="1:8" x14ac:dyDescent="0.25">
      <c r="A527" s="2" t="str">
        <f>"00024586"</f>
        <v>00024586</v>
      </c>
      <c r="B527" s="2" t="str">
        <f t="shared" si="23"/>
        <v>SG</v>
      </c>
      <c r="C527" s="4" t="s">
        <v>354</v>
      </c>
      <c r="D527" s="4" t="s">
        <v>0</v>
      </c>
      <c r="E527" s="4" t="s">
        <v>12</v>
      </c>
      <c r="F527" s="2" t="s">
        <v>0</v>
      </c>
      <c r="G527" s="2" t="str">
        <f>"09"</f>
        <v>09</v>
      </c>
      <c r="H527" s="3">
        <v>1662</v>
      </c>
    </row>
    <row r="528" spans="1:8" x14ac:dyDescent="0.25">
      <c r="A528" s="2" t="str">
        <f>"00024587"</f>
        <v>00024587</v>
      </c>
      <c r="B528" s="2" t="str">
        <f t="shared" si="23"/>
        <v>SG</v>
      </c>
      <c r="C528" s="4" t="s">
        <v>354</v>
      </c>
      <c r="D528" s="4" t="s">
        <v>0</v>
      </c>
      <c r="E528" s="4" t="s">
        <v>12</v>
      </c>
      <c r="F528" s="2" t="s">
        <v>0</v>
      </c>
      <c r="G528" s="2" t="str">
        <f>"09"</f>
        <v>09</v>
      </c>
      <c r="H528" s="3">
        <v>1662</v>
      </c>
    </row>
    <row r="529" spans="1:8" ht="29.25" x14ac:dyDescent="0.25">
      <c r="A529" s="2" t="str">
        <f>"00024600"</f>
        <v>00024600</v>
      </c>
      <c r="B529" s="2" t="str">
        <f t="shared" si="23"/>
        <v>SG</v>
      </c>
      <c r="C529" s="4" t="s">
        <v>355</v>
      </c>
      <c r="D529" s="4" t="s">
        <v>0</v>
      </c>
      <c r="E529" s="4" t="s">
        <v>12</v>
      </c>
      <c r="F529" s="2" t="s">
        <v>0</v>
      </c>
      <c r="G529" s="2" t="str">
        <f>"01"</f>
        <v>01</v>
      </c>
      <c r="H529" s="3">
        <v>413</v>
      </c>
    </row>
    <row r="530" spans="1:8" ht="29.25" x14ac:dyDescent="0.25">
      <c r="A530" s="2" t="str">
        <f>"00024605"</f>
        <v>00024605</v>
      </c>
      <c r="B530" s="2" t="str">
        <f t="shared" si="23"/>
        <v>SG</v>
      </c>
      <c r="C530" s="4" t="s">
        <v>355</v>
      </c>
      <c r="D530" s="4" t="s">
        <v>0</v>
      </c>
      <c r="E530" s="4" t="s">
        <v>12</v>
      </c>
      <c r="F530" s="2" t="s">
        <v>0</v>
      </c>
      <c r="G530" s="2" t="str">
        <f>"01"</f>
        <v>01</v>
      </c>
      <c r="H530" s="3">
        <v>413</v>
      </c>
    </row>
    <row r="531" spans="1:8" ht="29.25" x14ac:dyDescent="0.25">
      <c r="A531" s="2" t="str">
        <f>"00024615"</f>
        <v>00024615</v>
      </c>
      <c r="B531" s="2" t="str">
        <f t="shared" si="23"/>
        <v>SG</v>
      </c>
      <c r="C531" s="4" t="s">
        <v>355</v>
      </c>
      <c r="D531" s="4" t="s">
        <v>0</v>
      </c>
      <c r="E531" s="4" t="s">
        <v>12</v>
      </c>
      <c r="F531" s="2" t="s">
        <v>0</v>
      </c>
      <c r="G531" s="2" t="str">
        <f>"09"</f>
        <v>09</v>
      </c>
      <c r="H531" s="3">
        <v>1662</v>
      </c>
    </row>
    <row r="532" spans="1:8" x14ac:dyDescent="0.25">
      <c r="A532" s="2" t="str">
        <f>"00024620"</f>
        <v>00024620</v>
      </c>
      <c r="B532" s="2" t="str">
        <f t="shared" si="23"/>
        <v>SG</v>
      </c>
      <c r="C532" s="4" t="s">
        <v>354</v>
      </c>
      <c r="D532" s="4" t="s">
        <v>0</v>
      </c>
      <c r="E532" s="4" t="s">
        <v>12</v>
      </c>
      <c r="F532" s="2" t="s">
        <v>0</v>
      </c>
      <c r="G532" s="2" t="str">
        <f>"01"</f>
        <v>01</v>
      </c>
      <c r="H532" s="3">
        <v>413</v>
      </c>
    </row>
    <row r="533" spans="1:8" x14ac:dyDescent="0.25">
      <c r="A533" s="2" t="str">
        <f>"00024635"</f>
        <v>00024635</v>
      </c>
      <c r="B533" s="2" t="str">
        <f t="shared" si="23"/>
        <v>SG</v>
      </c>
      <c r="C533" s="4" t="s">
        <v>354</v>
      </c>
      <c r="D533" s="4" t="s">
        <v>0</v>
      </c>
      <c r="E533" s="4" t="s">
        <v>12</v>
      </c>
      <c r="F533" s="2" t="s">
        <v>0</v>
      </c>
      <c r="G533" s="2" t="str">
        <f>"09"</f>
        <v>09</v>
      </c>
      <c r="H533" s="3">
        <v>1662</v>
      </c>
    </row>
    <row r="534" spans="1:8" x14ac:dyDescent="0.25">
      <c r="A534" s="2" t="str">
        <f>"00024655"</f>
        <v>00024655</v>
      </c>
      <c r="B534" s="2" t="str">
        <f t="shared" si="23"/>
        <v>SG</v>
      </c>
      <c r="C534" s="4" t="s">
        <v>356</v>
      </c>
      <c r="D534" s="4" t="s">
        <v>0</v>
      </c>
      <c r="E534" s="4" t="s">
        <v>12</v>
      </c>
      <c r="F534" s="2" t="s">
        <v>0</v>
      </c>
      <c r="G534" s="2" t="str">
        <f>"01"</f>
        <v>01</v>
      </c>
      <c r="H534" s="3">
        <v>413</v>
      </c>
    </row>
    <row r="535" spans="1:8" x14ac:dyDescent="0.25">
      <c r="A535" s="2" t="str">
        <f>"00024665"</f>
        <v>00024665</v>
      </c>
      <c r="B535" s="2" t="str">
        <f t="shared" si="23"/>
        <v>SG</v>
      </c>
      <c r="C535" s="4" t="s">
        <v>356</v>
      </c>
      <c r="D535" s="4" t="s">
        <v>0</v>
      </c>
      <c r="E535" s="4" t="s">
        <v>12</v>
      </c>
      <c r="F535" s="2" t="s">
        <v>0</v>
      </c>
      <c r="G535" s="2" t="str">
        <f>"08"</f>
        <v>08</v>
      </c>
      <c r="H535" s="3">
        <v>1183</v>
      </c>
    </row>
    <row r="536" spans="1:8" x14ac:dyDescent="0.25">
      <c r="A536" s="2" t="str">
        <f>"00024666"</f>
        <v>00024666</v>
      </c>
      <c r="B536" s="2" t="str">
        <f t="shared" si="23"/>
        <v>SG</v>
      </c>
      <c r="C536" s="4" t="s">
        <v>356</v>
      </c>
      <c r="D536" s="4" t="s">
        <v>0</v>
      </c>
      <c r="E536" s="4" t="s">
        <v>12</v>
      </c>
      <c r="F536" s="2" t="s">
        <v>0</v>
      </c>
      <c r="G536" s="2" t="str">
        <f>"09"</f>
        <v>09</v>
      </c>
      <c r="H536" s="3">
        <v>1662</v>
      </c>
    </row>
    <row r="537" spans="1:8" x14ac:dyDescent="0.25">
      <c r="A537" s="2" t="str">
        <f>"00024670"</f>
        <v>00024670</v>
      </c>
      <c r="B537" s="2" t="str">
        <f t="shared" si="23"/>
        <v>SG</v>
      </c>
      <c r="C537" s="4" t="s">
        <v>357</v>
      </c>
      <c r="D537" s="4" t="s">
        <v>0</v>
      </c>
      <c r="E537" s="4" t="s">
        <v>12</v>
      </c>
      <c r="F537" s="2" t="s">
        <v>0</v>
      </c>
      <c r="G537" s="2" t="str">
        <f>"01"</f>
        <v>01</v>
      </c>
      <c r="H537" s="3">
        <v>413</v>
      </c>
    </row>
    <row r="538" spans="1:8" x14ac:dyDescent="0.25">
      <c r="A538" s="2" t="str">
        <f>"00024675"</f>
        <v>00024675</v>
      </c>
      <c r="B538" s="2" t="str">
        <f t="shared" si="23"/>
        <v>SG</v>
      </c>
      <c r="C538" s="4" t="s">
        <v>357</v>
      </c>
      <c r="D538" s="4" t="s">
        <v>0</v>
      </c>
      <c r="E538" s="4" t="s">
        <v>12</v>
      </c>
      <c r="F538" s="2" t="s">
        <v>0</v>
      </c>
      <c r="G538" s="2" t="str">
        <f>"01"</f>
        <v>01</v>
      </c>
      <c r="H538" s="3">
        <v>413</v>
      </c>
    </row>
    <row r="539" spans="1:8" x14ac:dyDescent="0.25">
      <c r="A539" s="2" t="str">
        <f>"00024685"</f>
        <v>00024685</v>
      </c>
      <c r="B539" s="2" t="str">
        <f t="shared" si="23"/>
        <v>SG</v>
      </c>
      <c r="C539" s="4" t="s">
        <v>357</v>
      </c>
      <c r="D539" s="4" t="s">
        <v>0</v>
      </c>
      <c r="E539" s="4" t="s">
        <v>12</v>
      </c>
      <c r="F539" s="2" t="s">
        <v>0</v>
      </c>
      <c r="G539" s="2" t="str">
        <f>"08"</f>
        <v>08</v>
      </c>
      <c r="H539" s="3">
        <v>1183</v>
      </c>
    </row>
    <row r="540" spans="1:8" x14ac:dyDescent="0.25">
      <c r="A540" s="2" t="str">
        <f>"00024800"</f>
        <v>00024800</v>
      </c>
      <c r="B540" s="2" t="str">
        <f t="shared" si="23"/>
        <v>SG</v>
      </c>
      <c r="C540" s="4" t="s">
        <v>358</v>
      </c>
      <c r="D540" s="4" t="s">
        <v>0</v>
      </c>
      <c r="E540" s="4" t="s">
        <v>12</v>
      </c>
      <c r="F540" s="2" t="s">
        <v>0</v>
      </c>
      <c r="G540" s="2" t="str">
        <f>"07"</f>
        <v>07</v>
      </c>
      <c r="H540" s="3">
        <v>1233</v>
      </c>
    </row>
    <row r="541" spans="1:8" ht="29.25" x14ac:dyDescent="0.25">
      <c r="A541" s="2" t="str">
        <f>"00024802"</f>
        <v>00024802</v>
      </c>
      <c r="B541" s="2" t="str">
        <f t="shared" si="23"/>
        <v>SG</v>
      </c>
      <c r="C541" s="4" t="s">
        <v>359</v>
      </c>
      <c r="D541" s="4" t="s">
        <v>0</v>
      </c>
      <c r="E541" s="4" t="s">
        <v>12</v>
      </c>
      <c r="F541" s="2" t="s">
        <v>0</v>
      </c>
      <c r="G541" s="2" t="str">
        <f>"02"</f>
        <v>02</v>
      </c>
      <c r="H541" s="3">
        <v>552</v>
      </c>
    </row>
    <row r="542" spans="1:8" ht="29.25" x14ac:dyDescent="0.25">
      <c r="A542" s="2" t="str">
        <f>"00024925"</f>
        <v>00024925</v>
      </c>
      <c r="B542" s="2" t="str">
        <f t="shared" si="23"/>
        <v>SG</v>
      </c>
      <c r="C542" s="4" t="s">
        <v>303</v>
      </c>
      <c r="D542" s="4" t="s">
        <v>0</v>
      </c>
      <c r="E542" s="4" t="s">
        <v>12</v>
      </c>
      <c r="F542" s="2" t="s">
        <v>0</v>
      </c>
      <c r="G542" s="2" t="str">
        <f>"02"</f>
        <v>02</v>
      </c>
      <c r="H542" s="3">
        <v>552</v>
      </c>
    </row>
    <row r="543" spans="1:8" ht="29.25" x14ac:dyDescent="0.25">
      <c r="A543" s="2" t="str">
        <f>"00025000"</f>
        <v>00025000</v>
      </c>
      <c r="B543" s="2" t="str">
        <f t="shared" si="23"/>
        <v>SG</v>
      </c>
      <c r="C543" s="4" t="s">
        <v>360</v>
      </c>
      <c r="D543" s="4" t="s">
        <v>0</v>
      </c>
      <c r="E543" s="4" t="s">
        <v>12</v>
      </c>
      <c r="F543" s="2" t="s">
        <v>0</v>
      </c>
      <c r="G543" s="2" t="str">
        <f>"04"</f>
        <v>04</v>
      </c>
      <c r="H543" s="3">
        <v>785</v>
      </c>
    </row>
    <row r="544" spans="1:8" ht="29.25" x14ac:dyDescent="0.25">
      <c r="A544" s="2" t="str">
        <f>"00025020"</f>
        <v>00025020</v>
      </c>
      <c r="B544" s="2" t="str">
        <f t="shared" si="23"/>
        <v>SG</v>
      </c>
      <c r="C544" s="4" t="s">
        <v>361</v>
      </c>
      <c r="D544" s="4" t="s">
        <v>0</v>
      </c>
      <c r="E544" s="4" t="s">
        <v>12</v>
      </c>
      <c r="F544" s="2" t="s">
        <v>0</v>
      </c>
      <c r="G544" s="2" t="str">
        <f>"04"</f>
        <v>04</v>
      </c>
      <c r="H544" s="3">
        <v>785</v>
      </c>
    </row>
    <row r="545" spans="1:8" ht="29.25" x14ac:dyDescent="0.25">
      <c r="A545" s="2" t="str">
        <f>"00025023"</f>
        <v>00025023</v>
      </c>
      <c r="B545" s="2" t="str">
        <f t="shared" si="23"/>
        <v>SG</v>
      </c>
      <c r="C545" s="4" t="s">
        <v>361</v>
      </c>
      <c r="D545" s="4" t="s">
        <v>0</v>
      </c>
      <c r="E545" s="4" t="s">
        <v>12</v>
      </c>
      <c r="F545" s="2" t="s">
        <v>0</v>
      </c>
      <c r="G545" s="2" t="str">
        <f>"04"</f>
        <v>04</v>
      </c>
      <c r="H545" s="3">
        <v>785</v>
      </c>
    </row>
    <row r="546" spans="1:8" ht="29.25" x14ac:dyDescent="0.25">
      <c r="A546" s="2" t="str">
        <f>"00025024"</f>
        <v>00025024</v>
      </c>
      <c r="B546" s="2" t="str">
        <f t="shared" si="23"/>
        <v>SG</v>
      </c>
      <c r="C546" s="4" t="s">
        <v>362</v>
      </c>
      <c r="D546" s="4" t="s">
        <v>0</v>
      </c>
      <c r="E546" s="4" t="s">
        <v>12</v>
      </c>
      <c r="F546" s="2" t="s">
        <v>0</v>
      </c>
      <c r="G546" s="2" t="str">
        <f>"04"</f>
        <v>04</v>
      </c>
      <c r="H546" s="3">
        <v>785</v>
      </c>
    </row>
    <row r="547" spans="1:8" ht="29.25" x14ac:dyDescent="0.25">
      <c r="A547" s="2" t="str">
        <f>"00025025"</f>
        <v>00025025</v>
      </c>
      <c r="B547" s="2" t="str">
        <f t="shared" si="23"/>
        <v>SG</v>
      </c>
      <c r="C547" s="4" t="s">
        <v>362</v>
      </c>
      <c r="D547" s="4" t="s">
        <v>0</v>
      </c>
      <c r="E547" s="4" t="s">
        <v>12</v>
      </c>
      <c r="F547" s="2" t="s">
        <v>0</v>
      </c>
      <c r="G547" s="2" t="str">
        <f>"04"</f>
        <v>04</v>
      </c>
      <c r="H547" s="3">
        <v>785</v>
      </c>
    </row>
    <row r="548" spans="1:8" ht="29.25" x14ac:dyDescent="0.25">
      <c r="A548" s="2" t="str">
        <f>"00025028"</f>
        <v>00025028</v>
      </c>
      <c r="B548" s="2" t="str">
        <f t="shared" si="23"/>
        <v>SG</v>
      </c>
      <c r="C548" s="4" t="s">
        <v>363</v>
      </c>
      <c r="D548" s="4" t="s">
        <v>0</v>
      </c>
      <c r="E548" s="4" t="s">
        <v>12</v>
      </c>
      <c r="F548" s="2" t="s">
        <v>0</v>
      </c>
      <c r="G548" s="2" t="str">
        <f>"02"</f>
        <v>02</v>
      </c>
      <c r="H548" s="3">
        <v>552</v>
      </c>
    </row>
    <row r="549" spans="1:8" ht="29.25" x14ac:dyDescent="0.25">
      <c r="A549" s="2" t="str">
        <f>"00025031"</f>
        <v>00025031</v>
      </c>
      <c r="B549" s="2" t="str">
        <f t="shared" si="23"/>
        <v>SG</v>
      </c>
      <c r="C549" s="4" t="s">
        <v>364</v>
      </c>
      <c r="D549" s="4" t="s">
        <v>0</v>
      </c>
      <c r="E549" s="4" t="s">
        <v>12</v>
      </c>
      <c r="F549" s="2" t="s">
        <v>0</v>
      </c>
      <c r="G549" s="2" t="str">
        <f>"02"</f>
        <v>02</v>
      </c>
      <c r="H549" s="3">
        <v>552</v>
      </c>
    </row>
    <row r="550" spans="1:8" ht="29.25" x14ac:dyDescent="0.25">
      <c r="A550" s="2" t="str">
        <f>"00025035"</f>
        <v>00025035</v>
      </c>
      <c r="B550" s="2" t="str">
        <f t="shared" si="23"/>
        <v>SG</v>
      </c>
      <c r="C550" s="4" t="s">
        <v>365</v>
      </c>
      <c r="D550" s="4" t="s">
        <v>0</v>
      </c>
      <c r="E550" s="4" t="s">
        <v>12</v>
      </c>
      <c r="F550" s="2" t="s">
        <v>0</v>
      </c>
      <c r="G550" s="2" t="str">
        <f>"02"</f>
        <v>02</v>
      </c>
      <c r="H550" s="3">
        <v>552</v>
      </c>
    </row>
    <row r="551" spans="1:8" ht="29.25" x14ac:dyDescent="0.25">
      <c r="A551" s="2" t="str">
        <f>"00025040"</f>
        <v>00025040</v>
      </c>
      <c r="B551" s="2" t="str">
        <f t="shared" si="23"/>
        <v>SG</v>
      </c>
      <c r="C551" s="4" t="s">
        <v>366</v>
      </c>
      <c r="D551" s="4" t="s">
        <v>0</v>
      </c>
      <c r="E551" s="4" t="s">
        <v>12</v>
      </c>
      <c r="F551" s="2" t="s">
        <v>0</v>
      </c>
      <c r="G551" s="2" t="str">
        <f>"04"</f>
        <v>04</v>
      </c>
      <c r="H551" s="3">
        <v>785</v>
      </c>
    </row>
    <row r="552" spans="1:8" ht="29.25" x14ac:dyDescent="0.25">
      <c r="A552" s="2" t="str">
        <f>"00025066"</f>
        <v>00025066</v>
      </c>
      <c r="B552" s="2" t="str">
        <f t="shared" si="23"/>
        <v>SG</v>
      </c>
      <c r="C552" s="4" t="s">
        <v>367</v>
      </c>
      <c r="D552" s="4" t="s">
        <v>0</v>
      </c>
      <c r="E552" s="4" t="s">
        <v>12</v>
      </c>
      <c r="F552" s="2" t="s">
        <v>0</v>
      </c>
      <c r="G552" s="2" t="str">
        <f>"02"</f>
        <v>02</v>
      </c>
      <c r="H552" s="3">
        <v>552</v>
      </c>
    </row>
    <row r="553" spans="1:8" ht="29.25" x14ac:dyDescent="0.25">
      <c r="A553" s="2" t="str">
        <f>"00025071"</f>
        <v>00025071</v>
      </c>
      <c r="B553" s="2" t="str">
        <f t="shared" si="23"/>
        <v>SG</v>
      </c>
      <c r="C553" s="4" t="s">
        <v>368</v>
      </c>
      <c r="D553" s="4" t="s">
        <v>0</v>
      </c>
      <c r="E553" s="4" t="s">
        <v>12</v>
      </c>
      <c r="F553" s="2" t="s">
        <v>0</v>
      </c>
      <c r="G553" s="2" t="str">
        <f>"04"</f>
        <v>04</v>
      </c>
      <c r="H553" s="3">
        <v>785</v>
      </c>
    </row>
    <row r="554" spans="1:8" ht="29.25" x14ac:dyDescent="0.25">
      <c r="A554" s="2" t="str">
        <f>"00025073"</f>
        <v>00025073</v>
      </c>
      <c r="B554" s="2" t="str">
        <f t="shared" si="23"/>
        <v>SG</v>
      </c>
      <c r="C554" s="4" t="s">
        <v>369</v>
      </c>
      <c r="D554" s="4" t="s">
        <v>0</v>
      </c>
      <c r="E554" s="4" t="s">
        <v>12</v>
      </c>
      <c r="F554" s="2" t="s">
        <v>0</v>
      </c>
      <c r="G554" s="2" t="str">
        <f>"04"</f>
        <v>04</v>
      </c>
      <c r="H554" s="3">
        <v>785</v>
      </c>
    </row>
    <row r="555" spans="1:8" ht="29.25" x14ac:dyDescent="0.25">
      <c r="A555" s="2" t="str">
        <f>"00025075"</f>
        <v>00025075</v>
      </c>
      <c r="B555" s="2" t="str">
        <f t="shared" si="23"/>
        <v>SG</v>
      </c>
      <c r="C555" s="4" t="s">
        <v>370</v>
      </c>
      <c r="D555" s="4" t="s">
        <v>0</v>
      </c>
      <c r="E555" s="4" t="s">
        <v>12</v>
      </c>
      <c r="F555" s="2" t="s">
        <v>0</v>
      </c>
      <c r="G555" s="2" t="str">
        <f>"01"</f>
        <v>01</v>
      </c>
      <c r="H555" s="3">
        <v>413</v>
      </c>
    </row>
    <row r="556" spans="1:8" ht="29.25" x14ac:dyDescent="0.25">
      <c r="A556" s="2" t="str">
        <f>"00025076"</f>
        <v>00025076</v>
      </c>
      <c r="B556" s="2" t="str">
        <f t="shared" si="23"/>
        <v>SG</v>
      </c>
      <c r="C556" s="4" t="s">
        <v>371</v>
      </c>
      <c r="D556" s="4" t="s">
        <v>0</v>
      </c>
      <c r="E556" s="4" t="s">
        <v>12</v>
      </c>
      <c r="F556" s="2" t="s">
        <v>0</v>
      </c>
      <c r="G556" s="2" t="str">
        <f>"01"</f>
        <v>01</v>
      </c>
      <c r="H556" s="3">
        <v>413</v>
      </c>
    </row>
    <row r="557" spans="1:8" ht="29.25" x14ac:dyDescent="0.25">
      <c r="A557" s="2" t="str">
        <f>"00025077"</f>
        <v>00025077</v>
      </c>
      <c r="B557" s="2" t="str">
        <f t="shared" si="23"/>
        <v>SG</v>
      </c>
      <c r="C557" s="4" t="s">
        <v>372</v>
      </c>
      <c r="D557" s="4" t="s">
        <v>0</v>
      </c>
      <c r="E557" s="4" t="s">
        <v>12</v>
      </c>
      <c r="F557" s="2" t="s">
        <v>0</v>
      </c>
      <c r="G557" s="2" t="str">
        <f>"01"</f>
        <v>01</v>
      </c>
      <c r="H557" s="3">
        <v>413</v>
      </c>
    </row>
    <row r="558" spans="1:8" ht="29.25" x14ac:dyDescent="0.25">
      <c r="A558" s="2" t="str">
        <f>"00025078"</f>
        <v>00025078</v>
      </c>
      <c r="B558" s="2" t="str">
        <f t="shared" si="23"/>
        <v>SG</v>
      </c>
      <c r="C558" s="4" t="s">
        <v>373</v>
      </c>
      <c r="D558" s="4" t="s">
        <v>0</v>
      </c>
      <c r="E558" s="4" t="s">
        <v>12</v>
      </c>
      <c r="F558" s="2" t="s">
        <v>0</v>
      </c>
      <c r="G558" s="2" t="str">
        <f>"02"</f>
        <v>02</v>
      </c>
      <c r="H558" s="3">
        <v>552</v>
      </c>
    </row>
    <row r="559" spans="1:8" ht="29.25" x14ac:dyDescent="0.25">
      <c r="A559" s="2" t="str">
        <f>"00025085"</f>
        <v>00025085</v>
      </c>
      <c r="B559" s="2" t="str">
        <f t="shared" si="23"/>
        <v>SG</v>
      </c>
      <c r="C559" s="4" t="s">
        <v>374</v>
      </c>
      <c r="D559" s="4" t="s">
        <v>0</v>
      </c>
      <c r="E559" s="4" t="s">
        <v>12</v>
      </c>
      <c r="F559" s="2" t="s">
        <v>0</v>
      </c>
      <c r="G559" s="2" t="str">
        <f>"02"</f>
        <v>02</v>
      </c>
      <c r="H559" s="3">
        <v>552</v>
      </c>
    </row>
    <row r="560" spans="1:8" x14ac:dyDescent="0.25">
      <c r="A560" s="2" t="str">
        <f>"00025100"</f>
        <v>00025100</v>
      </c>
      <c r="B560" s="2" t="str">
        <f t="shared" si="23"/>
        <v>SG</v>
      </c>
      <c r="C560" s="4" t="s">
        <v>375</v>
      </c>
      <c r="D560" s="4" t="s">
        <v>0</v>
      </c>
      <c r="E560" s="4" t="s">
        <v>12</v>
      </c>
      <c r="F560" s="2" t="s">
        <v>0</v>
      </c>
      <c r="G560" s="2" t="str">
        <f>"02"</f>
        <v>02</v>
      </c>
      <c r="H560" s="3">
        <v>552</v>
      </c>
    </row>
    <row r="561" spans="1:8" ht="29.25" x14ac:dyDescent="0.25">
      <c r="A561" s="2" t="str">
        <f>"00025101"</f>
        <v>00025101</v>
      </c>
      <c r="B561" s="2" t="str">
        <f t="shared" si="23"/>
        <v>SG</v>
      </c>
      <c r="C561" s="4" t="s">
        <v>366</v>
      </c>
      <c r="D561" s="4" t="s">
        <v>0</v>
      </c>
      <c r="E561" s="4" t="s">
        <v>12</v>
      </c>
      <c r="F561" s="2" t="s">
        <v>0</v>
      </c>
      <c r="G561" s="2" t="str">
        <f>"04"</f>
        <v>04</v>
      </c>
      <c r="H561" s="3">
        <v>785</v>
      </c>
    </row>
    <row r="562" spans="1:8" ht="29.25" x14ac:dyDescent="0.25">
      <c r="A562" s="2" t="str">
        <f>"00025105"</f>
        <v>00025105</v>
      </c>
      <c r="B562" s="2" t="str">
        <f t="shared" si="23"/>
        <v>SG</v>
      </c>
      <c r="C562" s="4" t="s">
        <v>376</v>
      </c>
      <c r="D562" s="4" t="s">
        <v>0</v>
      </c>
      <c r="E562" s="4" t="s">
        <v>12</v>
      </c>
      <c r="F562" s="2" t="s">
        <v>0</v>
      </c>
      <c r="G562" s="2" t="str">
        <f>"04"</f>
        <v>04</v>
      </c>
      <c r="H562" s="3">
        <v>785</v>
      </c>
    </row>
    <row r="563" spans="1:8" ht="29.25" x14ac:dyDescent="0.25">
      <c r="A563" s="2" t="str">
        <f>"00025107"</f>
        <v>00025107</v>
      </c>
      <c r="B563" s="2" t="str">
        <f t="shared" si="23"/>
        <v>SG</v>
      </c>
      <c r="C563" s="4" t="s">
        <v>377</v>
      </c>
      <c r="D563" s="4" t="s">
        <v>0</v>
      </c>
      <c r="E563" s="4" t="s">
        <v>12</v>
      </c>
      <c r="F563" s="2" t="s">
        <v>0</v>
      </c>
      <c r="G563" s="2" t="str">
        <f>"04"</f>
        <v>04</v>
      </c>
      <c r="H563" s="3">
        <v>785</v>
      </c>
    </row>
    <row r="564" spans="1:8" ht="29.25" x14ac:dyDescent="0.25">
      <c r="A564" s="2" t="str">
        <f>"00025110"</f>
        <v>00025110</v>
      </c>
      <c r="B564" s="2" t="str">
        <f t="shared" si="23"/>
        <v>SG</v>
      </c>
      <c r="C564" s="4" t="s">
        <v>378</v>
      </c>
      <c r="D564" s="4" t="s">
        <v>0</v>
      </c>
      <c r="E564" s="4" t="s">
        <v>12</v>
      </c>
      <c r="F564" s="2" t="s">
        <v>0</v>
      </c>
      <c r="G564" s="2" t="str">
        <f>"02"</f>
        <v>02</v>
      </c>
      <c r="H564" s="3">
        <v>552</v>
      </c>
    </row>
    <row r="565" spans="1:8" ht="29.25" x14ac:dyDescent="0.25">
      <c r="A565" s="2" t="str">
        <f>"00025111"</f>
        <v>00025111</v>
      </c>
      <c r="B565" s="2" t="str">
        <f t="shared" si="23"/>
        <v>SG</v>
      </c>
      <c r="C565" s="4" t="s">
        <v>378</v>
      </c>
      <c r="D565" s="4" t="s">
        <v>0</v>
      </c>
      <c r="E565" s="4" t="s">
        <v>12</v>
      </c>
      <c r="F565" s="2" t="s">
        <v>0</v>
      </c>
      <c r="G565" s="2" t="str">
        <f>"02"</f>
        <v>02</v>
      </c>
      <c r="H565" s="3">
        <v>552</v>
      </c>
    </row>
    <row r="566" spans="1:8" ht="29.25" x14ac:dyDescent="0.25">
      <c r="A566" s="2" t="str">
        <f>"00025115"</f>
        <v>00025115</v>
      </c>
      <c r="B566" s="2" t="str">
        <f t="shared" si="23"/>
        <v>SG</v>
      </c>
      <c r="C566" s="4" t="s">
        <v>379</v>
      </c>
      <c r="D566" s="4" t="s">
        <v>0</v>
      </c>
      <c r="E566" s="4" t="s">
        <v>12</v>
      </c>
      <c r="F566" s="2" t="s">
        <v>0</v>
      </c>
      <c r="G566" s="2" t="str">
        <f>"02"</f>
        <v>02</v>
      </c>
      <c r="H566" s="3">
        <v>552</v>
      </c>
    </row>
    <row r="567" spans="1:8" ht="29.25" x14ac:dyDescent="0.25">
      <c r="A567" s="2" t="str">
        <f>"00025116"</f>
        <v>00025116</v>
      </c>
      <c r="B567" s="2" t="str">
        <f t="shared" si="23"/>
        <v>SG</v>
      </c>
      <c r="C567" s="4" t="s">
        <v>379</v>
      </c>
      <c r="D567" s="4" t="s">
        <v>0</v>
      </c>
      <c r="E567" s="4" t="s">
        <v>12</v>
      </c>
      <c r="F567" s="2" t="s">
        <v>0</v>
      </c>
      <c r="G567" s="2" t="str">
        <f>"02"</f>
        <v>02</v>
      </c>
      <c r="H567" s="3">
        <v>552</v>
      </c>
    </row>
    <row r="568" spans="1:8" ht="29.25" x14ac:dyDescent="0.25">
      <c r="A568" s="2" t="str">
        <f>"00025118"</f>
        <v>00025118</v>
      </c>
      <c r="B568" s="2" t="str">
        <f t="shared" si="23"/>
        <v>SG</v>
      </c>
      <c r="C568" s="4" t="s">
        <v>380</v>
      </c>
      <c r="D568" s="4" t="s">
        <v>0</v>
      </c>
      <c r="E568" s="4" t="s">
        <v>12</v>
      </c>
      <c r="F568" s="2" t="s">
        <v>0</v>
      </c>
      <c r="G568" s="2" t="str">
        <f t="shared" ref="G568:G582" si="24">"04"</f>
        <v>04</v>
      </c>
      <c r="H568" s="3">
        <v>785</v>
      </c>
    </row>
    <row r="569" spans="1:8" x14ac:dyDescent="0.25">
      <c r="A569" s="2" t="str">
        <f>"00025119"</f>
        <v>00025119</v>
      </c>
      <c r="B569" s="2" t="str">
        <f t="shared" si="23"/>
        <v>SG</v>
      </c>
      <c r="C569" s="4" t="s">
        <v>381</v>
      </c>
      <c r="D569" s="4" t="s">
        <v>0</v>
      </c>
      <c r="E569" s="4" t="s">
        <v>12</v>
      </c>
      <c r="F569" s="2" t="s">
        <v>0</v>
      </c>
      <c r="G569" s="2" t="str">
        <f t="shared" si="24"/>
        <v>04</v>
      </c>
      <c r="H569" s="3">
        <v>785</v>
      </c>
    </row>
    <row r="570" spans="1:8" ht="29.25" x14ac:dyDescent="0.25">
      <c r="A570" s="2" t="str">
        <f>"00025120"</f>
        <v>00025120</v>
      </c>
      <c r="B570" s="2" t="str">
        <f t="shared" si="23"/>
        <v>SG</v>
      </c>
      <c r="C570" s="4" t="s">
        <v>382</v>
      </c>
      <c r="D570" s="4" t="s">
        <v>0</v>
      </c>
      <c r="E570" s="4" t="s">
        <v>12</v>
      </c>
      <c r="F570" s="2" t="s">
        <v>0</v>
      </c>
      <c r="G570" s="2" t="str">
        <f t="shared" si="24"/>
        <v>04</v>
      </c>
      <c r="H570" s="3">
        <v>785</v>
      </c>
    </row>
    <row r="571" spans="1:8" ht="29.25" x14ac:dyDescent="0.25">
      <c r="A571" s="2" t="str">
        <f>"00025125"</f>
        <v>00025125</v>
      </c>
      <c r="B571" s="2" t="str">
        <f t="shared" si="23"/>
        <v>SG</v>
      </c>
      <c r="C571" s="4" t="s">
        <v>383</v>
      </c>
      <c r="D571" s="4" t="s">
        <v>0</v>
      </c>
      <c r="E571" s="4" t="s">
        <v>12</v>
      </c>
      <c r="F571" s="2" t="s">
        <v>0</v>
      </c>
      <c r="G571" s="2" t="str">
        <f t="shared" si="24"/>
        <v>04</v>
      </c>
      <c r="H571" s="3">
        <v>785</v>
      </c>
    </row>
    <row r="572" spans="1:8" ht="29.25" x14ac:dyDescent="0.25">
      <c r="A572" s="2" t="str">
        <f>"00025126"</f>
        <v>00025126</v>
      </c>
      <c r="B572" s="2" t="str">
        <f t="shared" si="23"/>
        <v>SG</v>
      </c>
      <c r="C572" s="4" t="s">
        <v>383</v>
      </c>
      <c r="D572" s="4" t="s">
        <v>0</v>
      </c>
      <c r="E572" s="4" t="s">
        <v>12</v>
      </c>
      <c r="F572" s="2" t="s">
        <v>0</v>
      </c>
      <c r="G572" s="2" t="str">
        <f t="shared" si="24"/>
        <v>04</v>
      </c>
      <c r="H572" s="3">
        <v>785</v>
      </c>
    </row>
    <row r="573" spans="1:8" ht="29.25" x14ac:dyDescent="0.25">
      <c r="A573" s="2" t="str">
        <f>"00025130"</f>
        <v>00025130</v>
      </c>
      <c r="B573" s="2" t="str">
        <f t="shared" si="23"/>
        <v>SG</v>
      </c>
      <c r="C573" s="4" t="s">
        <v>384</v>
      </c>
      <c r="D573" s="4" t="s">
        <v>0</v>
      </c>
      <c r="E573" s="4" t="s">
        <v>12</v>
      </c>
      <c r="F573" s="2" t="s">
        <v>0</v>
      </c>
      <c r="G573" s="2" t="str">
        <f t="shared" si="24"/>
        <v>04</v>
      </c>
      <c r="H573" s="3">
        <v>785</v>
      </c>
    </row>
    <row r="574" spans="1:8" ht="29.25" x14ac:dyDescent="0.25">
      <c r="A574" s="2" t="str">
        <f>"00025135"</f>
        <v>00025135</v>
      </c>
      <c r="B574" s="2" t="str">
        <f t="shared" si="23"/>
        <v>SG</v>
      </c>
      <c r="C574" s="4" t="s">
        <v>385</v>
      </c>
      <c r="D574" s="4" t="s">
        <v>0</v>
      </c>
      <c r="E574" s="4" t="s">
        <v>12</v>
      </c>
      <c r="F574" s="2" t="s">
        <v>0</v>
      </c>
      <c r="G574" s="2" t="str">
        <f t="shared" si="24"/>
        <v>04</v>
      </c>
      <c r="H574" s="3">
        <v>785</v>
      </c>
    </row>
    <row r="575" spans="1:8" ht="29.25" x14ac:dyDescent="0.25">
      <c r="A575" s="2" t="str">
        <f>"00025136"</f>
        <v>00025136</v>
      </c>
      <c r="B575" s="2" t="str">
        <f t="shared" si="23"/>
        <v>SG</v>
      </c>
      <c r="C575" s="4" t="s">
        <v>385</v>
      </c>
      <c r="D575" s="4" t="s">
        <v>0</v>
      </c>
      <c r="E575" s="4" t="s">
        <v>12</v>
      </c>
      <c r="F575" s="2" t="s">
        <v>0</v>
      </c>
      <c r="G575" s="2" t="str">
        <f t="shared" si="24"/>
        <v>04</v>
      </c>
      <c r="H575" s="3">
        <v>785</v>
      </c>
    </row>
    <row r="576" spans="1:8" ht="29.25" x14ac:dyDescent="0.25">
      <c r="A576" s="2" t="str">
        <f>"00025145"</f>
        <v>00025145</v>
      </c>
      <c r="B576" s="2" t="str">
        <f t="shared" si="23"/>
        <v>SG</v>
      </c>
      <c r="C576" s="4" t="s">
        <v>386</v>
      </c>
      <c r="D576" s="4" t="s">
        <v>0</v>
      </c>
      <c r="E576" s="4" t="s">
        <v>12</v>
      </c>
      <c r="F576" s="2" t="s">
        <v>0</v>
      </c>
      <c r="G576" s="2" t="str">
        <f t="shared" si="24"/>
        <v>04</v>
      </c>
      <c r="H576" s="3">
        <v>785</v>
      </c>
    </row>
    <row r="577" spans="1:8" x14ac:dyDescent="0.25">
      <c r="A577" s="2" t="str">
        <f>"00025150"</f>
        <v>00025150</v>
      </c>
      <c r="B577" s="2" t="str">
        <f t="shared" si="23"/>
        <v>SG</v>
      </c>
      <c r="C577" s="4" t="s">
        <v>381</v>
      </c>
      <c r="D577" s="4" t="s">
        <v>0</v>
      </c>
      <c r="E577" s="4" t="s">
        <v>12</v>
      </c>
      <c r="F577" s="2" t="s">
        <v>0</v>
      </c>
      <c r="G577" s="2" t="str">
        <f t="shared" si="24"/>
        <v>04</v>
      </c>
      <c r="H577" s="3">
        <v>785</v>
      </c>
    </row>
    <row r="578" spans="1:8" ht="29.25" x14ac:dyDescent="0.25">
      <c r="A578" s="2" t="str">
        <f>"00025151"</f>
        <v>00025151</v>
      </c>
      <c r="B578" s="2" t="str">
        <f t="shared" si="23"/>
        <v>SG</v>
      </c>
      <c r="C578" s="4" t="s">
        <v>325</v>
      </c>
      <c r="D578" s="4" t="s">
        <v>0</v>
      </c>
      <c r="E578" s="4" t="s">
        <v>12</v>
      </c>
      <c r="F578" s="2" t="s">
        <v>0</v>
      </c>
      <c r="G578" s="2" t="str">
        <f t="shared" si="24"/>
        <v>04</v>
      </c>
      <c r="H578" s="3">
        <v>785</v>
      </c>
    </row>
    <row r="579" spans="1:8" x14ac:dyDescent="0.25">
      <c r="A579" s="2" t="str">
        <f>"00025210"</f>
        <v>00025210</v>
      </c>
      <c r="B579" s="2" t="str">
        <f t="shared" si="23"/>
        <v>SG</v>
      </c>
      <c r="C579" s="4" t="s">
        <v>387</v>
      </c>
      <c r="D579" s="4" t="s">
        <v>0</v>
      </c>
      <c r="E579" s="4" t="s">
        <v>12</v>
      </c>
      <c r="F579" s="2" t="s">
        <v>0</v>
      </c>
      <c r="G579" s="2" t="str">
        <f t="shared" si="24"/>
        <v>04</v>
      </c>
      <c r="H579" s="3">
        <v>785</v>
      </c>
    </row>
    <row r="580" spans="1:8" x14ac:dyDescent="0.25">
      <c r="A580" s="2" t="str">
        <f>"00025215"</f>
        <v>00025215</v>
      </c>
      <c r="B580" s="2" t="str">
        <f t="shared" si="23"/>
        <v>SG</v>
      </c>
      <c r="C580" s="4" t="s">
        <v>388</v>
      </c>
      <c r="D580" s="4" t="s">
        <v>0</v>
      </c>
      <c r="E580" s="4" t="s">
        <v>12</v>
      </c>
      <c r="F580" s="2" t="s">
        <v>0</v>
      </c>
      <c r="G580" s="2" t="str">
        <f t="shared" si="24"/>
        <v>04</v>
      </c>
      <c r="H580" s="3">
        <v>785</v>
      </c>
    </row>
    <row r="581" spans="1:8" ht="29.25" x14ac:dyDescent="0.25">
      <c r="A581" s="2" t="str">
        <f>"00025230"</f>
        <v>00025230</v>
      </c>
      <c r="B581" s="2" t="str">
        <f t="shared" si="23"/>
        <v>SG</v>
      </c>
      <c r="C581" s="4" t="s">
        <v>325</v>
      </c>
      <c r="D581" s="4" t="s">
        <v>0</v>
      </c>
      <c r="E581" s="4" t="s">
        <v>12</v>
      </c>
      <c r="F581" s="2" t="s">
        <v>0</v>
      </c>
      <c r="G581" s="2" t="str">
        <f t="shared" si="24"/>
        <v>04</v>
      </c>
      <c r="H581" s="3">
        <v>785</v>
      </c>
    </row>
    <row r="582" spans="1:8" x14ac:dyDescent="0.25">
      <c r="A582" s="2" t="str">
        <f>"00025240"</f>
        <v>00025240</v>
      </c>
      <c r="B582" s="2" t="str">
        <f t="shared" si="23"/>
        <v>SG</v>
      </c>
      <c r="C582" s="4" t="s">
        <v>381</v>
      </c>
      <c r="D582" s="4" t="s">
        <v>0</v>
      </c>
      <c r="E582" s="4" t="s">
        <v>12</v>
      </c>
      <c r="F582" s="2" t="s">
        <v>0</v>
      </c>
      <c r="G582" s="2" t="str">
        <f t="shared" si="24"/>
        <v>04</v>
      </c>
      <c r="H582" s="3">
        <v>785</v>
      </c>
    </row>
    <row r="583" spans="1:8" ht="29.25" x14ac:dyDescent="0.25">
      <c r="A583" s="2" t="str">
        <f>"00025248"</f>
        <v>00025248</v>
      </c>
      <c r="B583" s="2" t="str">
        <f t="shared" si="23"/>
        <v>SG</v>
      </c>
      <c r="C583" s="4" t="s">
        <v>389</v>
      </c>
      <c r="D583" s="4" t="s">
        <v>0</v>
      </c>
      <c r="E583" s="4" t="s">
        <v>12</v>
      </c>
      <c r="F583" s="2" t="s">
        <v>0</v>
      </c>
      <c r="G583" s="2" t="str">
        <f>"02"</f>
        <v>02</v>
      </c>
      <c r="H583" s="3">
        <v>552</v>
      </c>
    </row>
    <row r="584" spans="1:8" ht="29.25" x14ac:dyDescent="0.25">
      <c r="A584" s="2" t="str">
        <f>"00025250"</f>
        <v>00025250</v>
      </c>
      <c r="B584" s="2" t="str">
        <f t="shared" si="23"/>
        <v>SG</v>
      </c>
      <c r="C584" s="4" t="s">
        <v>390</v>
      </c>
      <c r="D584" s="4" t="s">
        <v>0</v>
      </c>
      <c r="E584" s="4" t="s">
        <v>12</v>
      </c>
      <c r="F584" s="2" t="s">
        <v>0</v>
      </c>
      <c r="G584" s="2" t="str">
        <f t="shared" ref="G584:G594" si="25">"04"</f>
        <v>04</v>
      </c>
      <c r="H584" s="3">
        <v>785</v>
      </c>
    </row>
    <row r="585" spans="1:8" ht="29.25" x14ac:dyDescent="0.25">
      <c r="A585" s="2" t="str">
        <f>"00025251"</f>
        <v>00025251</v>
      </c>
      <c r="B585" s="2" t="str">
        <f t="shared" si="23"/>
        <v>SG</v>
      </c>
      <c r="C585" s="4" t="s">
        <v>390</v>
      </c>
      <c r="D585" s="4" t="s">
        <v>0</v>
      </c>
      <c r="E585" s="4" t="s">
        <v>12</v>
      </c>
      <c r="F585" s="2" t="s">
        <v>0</v>
      </c>
      <c r="G585" s="2" t="str">
        <f t="shared" si="25"/>
        <v>04</v>
      </c>
      <c r="H585" s="3">
        <v>785</v>
      </c>
    </row>
    <row r="586" spans="1:8" ht="29.25" x14ac:dyDescent="0.25">
      <c r="A586" s="2" t="str">
        <f>"00025260"</f>
        <v>00025260</v>
      </c>
      <c r="B586" s="2" t="str">
        <f t="shared" si="23"/>
        <v>SG</v>
      </c>
      <c r="C586" s="4" t="s">
        <v>391</v>
      </c>
      <c r="D586" s="4" t="s">
        <v>0</v>
      </c>
      <c r="E586" s="4" t="s">
        <v>12</v>
      </c>
      <c r="F586" s="2" t="s">
        <v>0</v>
      </c>
      <c r="G586" s="2" t="str">
        <f t="shared" si="25"/>
        <v>04</v>
      </c>
      <c r="H586" s="3">
        <v>785</v>
      </c>
    </row>
    <row r="587" spans="1:8" ht="29.25" x14ac:dyDescent="0.25">
      <c r="A587" s="2" t="str">
        <f>"00025263"</f>
        <v>00025263</v>
      </c>
      <c r="B587" s="2" t="str">
        <f t="shared" si="23"/>
        <v>SG</v>
      </c>
      <c r="C587" s="4" t="s">
        <v>391</v>
      </c>
      <c r="D587" s="4" t="s">
        <v>0</v>
      </c>
      <c r="E587" s="4" t="s">
        <v>12</v>
      </c>
      <c r="F587" s="2" t="s">
        <v>0</v>
      </c>
      <c r="G587" s="2" t="str">
        <f t="shared" si="25"/>
        <v>04</v>
      </c>
      <c r="H587" s="3">
        <v>785</v>
      </c>
    </row>
    <row r="588" spans="1:8" ht="29.25" x14ac:dyDescent="0.25">
      <c r="A588" s="2" t="str">
        <f>"00025265"</f>
        <v>00025265</v>
      </c>
      <c r="B588" s="2" t="str">
        <f t="shared" si="23"/>
        <v>SG</v>
      </c>
      <c r="C588" s="4" t="s">
        <v>391</v>
      </c>
      <c r="D588" s="4" t="s">
        <v>0</v>
      </c>
      <c r="E588" s="4" t="s">
        <v>12</v>
      </c>
      <c r="F588" s="2" t="s">
        <v>0</v>
      </c>
      <c r="G588" s="2" t="str">
        <f t="shared" si="25"/>
        <v>04</v>
      </c>
      <c r="H588" s="3">
        <v>785</v>
      </c>
    </row>
    <row r="589" spans="1:8" ht="29.25" x14ac:dyDescent="0.25">
      <c r="A589" s="2" t="str">
        <f>"00025270"</f>
        <v>00025270</v>
      </c>
      <c r="B589" s="2" t="str">
        <f t="shared" ref="B589:B652" si="26">"SG"</f>
        <v>SG</v>
      </c>
      <c r="C589" s="4" t="s">
        <v>391</v>
      </c>
      <c r="D589" s="4" t="s">
        <v>0</v>
      </c>
      <c r="E589" s="4" t="s">
        <v>12</v>
      </c>
      <c r="F589" s="2" t="s">
        <v>0</v>
      </c>
      <c r="G589" s="2" t="str">
        <f t="shared" si="25"/>
        <v>04</v>
      </c>
      <c r="H589" s="3">
        <v>785</v>
      </c>
    </row>
    <row r="590" spans="1:8" ht="29.25" x14ac:dyDescent="0.25">
      <c r="A590" s="2" t="str">
        <f>"00025272"</f>
        <v>00025272</v>
      </c>
      <c r="B590" s="2" t="str">
        <f t="shared" si="26"/>
        <v>SG</v>
      </c>
      <c r="C590" s="4" t="s">
        <v>391</v>
      </c>
      <c r="D590" s="4" t="s">
        <v>0</v>
      </c>
      <c r="E590" s="4" t="s">
        <v>12</v>
      </c>
      <c r="F590" s="2" t="s">
        <v>0</v>
      </c>
      <c r="G590" s="2" t="str">
        <f t="shared" si="25"/>
        <v>04</v>
      </c>
      <c r="H590" s="3">
        <v>785</v>
      </c>
    </row>
    <row r="591" spans="1:8" ht="29.25" x14ac:dyDescent="0.25">
      <c r="A591" s="2" t="str">
        <f>"00025274"</f>
        <v>00025274</v>
      </c>
      <c r="B591" s="2" t="str">
        <f t="shared" si="26"/>
        <v>SG</v>
      </c>
      <c r="C591" s="4" t="s">
        <v>391</v>
      </c>
      <c r="D591" s="4" t="s">
        <v>0</v>
      </c>
      <c r="E591" s="4" t="s">
        <v>12</v>
      </c>
      <c r="F591" s="2" t="s">
        <v>0</v>
      </c>
      <c r="G591" s="2" t="str">
        <f t="shared" si="25"/>
        <v>04</v>
      </c>
      <c r="H591" s="3">
        <v>785</v>
      </c>
    </row>
    <row r="592" spans="1:8" ht="29.25" x14ac:dyDescent="0.25">
      <c r="A592" s="2" t="str">
        <f>"00025275"</f>
        <v>00025275</v>
      </c>
      <c r="B592" s="2" t="str">
        <f t="shared" si="26"/>
        <v>SG</v>
      </c>
      <c r="C592" s="4" t="s">
        <v>392</v>
      </c>
      <c r="D592" s="4" t="s">
        <v>0</v>
      </c>
      <c r="E592" s="4" t="s">
        <v>12</v>
      </c>
      <c r="F592" s="2" t="s">
        <v>0</v>
      </c>
      <c r="G592" s="2" t="str">
        <f t="shared" si="25"/>
        <v>04</v>
      </c>
      <c r="H592" s="3">
        <v>785</v>
      </c>
    </row>
    <row r="593" spans="1:8" ht="29.25" x14ac:dyDescent="0.25">
      <c r="A593" s="2" t="str">
        <f>"00025280"</f>
        <v>00025280</v>
      </c>
      <c r="B593" s="2" t="str">
        <f t="shared" si="26"/>
        <v>SG</v>
      </c>
      <c r="C593" s="4" t="s">
        <v>393</v>
      </c>
      <c r="D593" s="4" t="s">
        <v>0</v>
      </c>
      <c r="E593" s="4" t="s">
        <v>12</v>
      </c>
      <c r="F593" s="2" t="s">
        <v>0</v>
      </c>
      <c r="G593" s="2" t="str">
        <f t="shared" si="25"/>
        <v>04</v>
      </c>
      <c r="H593" s="3">
        <v>785</v>
      </c>
    </row>
    <row r="594" spans="1:8" ht="29.25" x14ac:dyDescent="0.25">
      <c r="A594" s="2" t="str">
        <f>"00025290"</f>
        <v>00025290</v>
      </c>
      <c r="B594" s="2" t="str">
        <f t="shared" si="26"/>
        <v>SG</v>
      </c>
      <c r="C594" s="4" t="s">
        <v>394</v>
      </c>
      <c r="D594" s="4" t="s">
        <v>0</v>
      </c>
      <c r="E594" s="4" t="s">
        <v>12</v>
      </c>
      <c r="F594" s="2" t="s">
        <v>0</v>
      </c>
      <c r="G594" s="2" t="str">
        <f t="shared" si="25"/>
        <v>04</v>
      </c>
      <c r="H594" s="3">
        <v>785</v>
      </c>
    </row>
    <row r="595" spans="1:8" ht="29.25" x14ac:dyDescent="0.25">
      <c r="A595" s="2" t="str">
        <f>"00025295"</f>
        <v>00025295</v>
      </c>
      <c r="B595" s="2" t="str">
        <f t="shared" si="26"/>
        <v>SG</v>
      </c>
      <c r="C595" s="4" t="s">
        <v>395</v>
      </c>
      <c r="D595" s="4" t="s">
        <v>0</v>
      </c>
      <c r="E595" s="4" t="s">
        <v>12</v>
      </c>
      <c r="F595" s="2" t="s">
        <v>0</v>
      </c>
      <c r="G595" s="2" t="str">
        <f>"02"</f>
        <v>02</v>
      </c>
      <c r="H595" s="3">
        <v>552</v>
      </c>
    </row>
    <row r="596" spans="1:8" ht="29.25" x14ac:dyDescent="0.25">
      <c r="A596" s="2" t="str">
        <f>"00025300"</f>
        <v>00025300</v>
      </c>
      <c r="B596" s="2" t="str">
        <f t="shared" si="26"/>
        <v>SG</v>
      </c>
      <c r="C596" s="4" t="s">
        <v>396</v>
      </c>
      <c r="D596" s="4" t="s">
        <v>0</v>
      </c>
      <c r="E596" s="4" t="s">
        <v>12</v>
      </c>
      <c r="F596" s="2" t="s">
        <v>0</v>
      </c>
      <c r="G596" s="2" t="str">
        <f>"04"</f>
        <v>04</v>
      </c>
      <c r="H596" s="3">
        <v>785</v>
      </c>
    </row>
    <row r="597" spans="1:8" ht="29.25" x14ac:dyDescent="0.25">
      <c r="A597" s="2" t="str">
        <f>"00025301"</f>
        <v>00025301</v>
      </c>
      <c r="B597" s="2" t="str">
        <f t="shared" si="26"/>
        <v>SG</v>
      </c>
      <c r="C597" s="4" t="s">
        <v>396</v>
      </c>
      <c r="D597" s="4" t="s">
        <v>0</v>
      </c>
      <c r="E597" s="4" t="s">
        <v>12</v>
      </c>
      <c r="F597" s="2" t="s">
        <v>0</v>
      </c>
      <c r="G597" s="2" t="str">
        <f>"04"</f>
        <v>04</v>
      </c>
      <c r="H597" s="3">
        <v>785</v>
      </c>
    </row>
    <row r="598" spans="1:8" ht="29.25" x14ac:dyDescent="0.25">
      <c r="A598" s="2" t="str">
        <f>"00025310"</f>
        <v>00025310</v>
      </c>
      <c r="B598" s="2" t="str">
        <f t="shared" si="26"/>
        <v>SG</v>
      </c>
      <c r="C598" s="4" t="s">
        <v>397</v>
      </c>
      <c r="D598" s="4" t="s">
        <v>0</v>
      </c>
      <c r="E598" s="4" t="s">
        <v>12</v>
      </c>
      <c r="F598" s="2" t="s">
        <v>0</v>
      </c>
      <c r="G598" s="2" t="str">
        <f>"04"</f>
        <v>04</v>
      </c>
      <c r="H598" s="3">
        <v>785</v>
      </c>
    </row>
    <row r="599" spans="1:8" ht="29.25" x14ac:dyDescent="0.25">
      <c r="A599" s="2" t="str">
        <f>"00025312"</f>
        <v>00025312</v>
      </c>
      <c r="B599" s="2" t="str">
        <f t="shared" si="26"/>
        <v>SG</v>
      </c>
      <c r="C599" s="4" t="s">
        <v>397</v>
      </c>
      <c r="D599" s="4" t="s">
        <v>0</v>
      </c>
      <c r="E599" s="4" t="s">
        <v>12</v>
      </c>
      <c r="F599" s="2" t="s">
        <v>0</v>
      </c>
      <c r="G599" s="2" t="str">
        <f>"07"</f>
        <v>07</v>
      </c>
      <c r="H599" s="3">
        <v>1233</v>
      </c>
    </row>
    <row r="600" spans="1:8" ht="29.25" x14ac:dyDescent="0.25">
      <c r="A600" s="2" t="str">
        <f>"00025315"</f>
        <v>00025315</v>
      </c>
      <c r="B600" s="2" t="str">
        <f t="shared" si="26"/>
        <v>SG</v>
      </c>
      <c r="C600" s="4" t="s">
        <v>398</v>
      </c>
      <c r="D600" s="4" t="s">
        <v>0</v>
      </c>
      <c r="E600" s="4" t="s">
        <v>12</v>
      </c>
      <c r="F600" s="2" t="s">
        <v>0</v>
      </c>
      <c r="G600" s="2" t="str">
        <f>"04"</f>
        <v>04</v>
      </c>
      <c r="H600" s="3">
        <v>785</v>
      </c>
    </row>
    <row r="601" spans="1:8" ht="29.25" x14ac:dyDescent="0.25">
      <c r="A601" s="2" t="str">
        <f>"00025316"</f>
        <v>00025316</v>
      </c>
      <c r="B601" s="2" t="str">
        <f t="shared" si="26"/>
        <v>SG</v>
      </c>
      <c r="C601" s="4" t="s">
        <v>398</v>
      </c>
      <c r="D601" s="4" t="s">
        <v>0</v>
      </c>
      <c r="E601" s="4" t="s">
        <v>12</v>
      </c>
      <c r="F601" s="2" t="s">
        <v>0</v>
      </c>
      <c r="G601" s="2" t="str">
        <f>"09"</f>
        <v>09</v>
      </c>
      <c r="H601" s="3">
        <v>1662</v>
      </c>
    </row>
    <row r="602" spans="1:8" ht="29.25" x14ac:dyDescent="0.25">
      <c r="A602" s="2" t="str">
        <f>"00025320"</f>
        <v>00025320</v>
      </c>
      <c r="B602" s="2" t="str">
        <f t="shared" si="26"/>
        <v>SG</v>
      </c>
      <c r="C602" s="4" t="s">
        <v>399</v>
      </c>
      <c r="D602" s="4" t="s">
        <v>0</v>
      </c>
      <c r="E602" s="4" t="s">
        <v>12</v>
      </c>
      <c r="F602" s="2" t="s">
        <v>0</v>
      </c>
      <c r="G602" s="2" t="str">
        <f>"07"</f>
        <v>07</v>
      </c>
      <c r="H602" s="3">
        <v>1233</v>
      </c>
    </row>
    <row r="603" spans="1:8" x14ac:dyDescent="0.25">
      <c r="A603" s="2" t="str">
        <f>"00025332"</f>
        <v>00025332</v>
      </c>
      <c r="B603" s="2" t="str">
        <f t="shared" si="26"/>
        <v>SG</v>
      </c>
      <c r="C603" s="4" t="s">
        <v>400</v>
      </c>
      <c r="D603" s="4" t="s">
        <v>0</v>
      </c>
      <c r="E603" s="4" t="s">
        <v>12</v>
      </c>
      <c r="F603" s="2" t="s">
        <v>0</v>
      </c>
      <c r="G603" s="2" t="str">
        <f>"06"</f>
        <v>06</v>
      </c>
      <c r="H603" s="3">
        <v>1000</v>
      </c>
    </row>
    <row r="604" spans="1:8" x14ac:dyDescent="0.25">
      <c r="A604" s="2" t="str">
        <f>"00025335"</f>
        <v>00025335</v>
      </c>
      <c r="B604" s="2" t="str">
        <f t="shared" si="26"/>
        <v>SG</v>
      </c>
      <c r="C604" s="4" t="s">
        <v>401</v>
      </c>
      <c r="D604" s="4" t="s">
        <v>0</v>
      </c>
      <c r="E604" s="4" t="s">
        <v>12</v>
      </c>
      <c r="F604" s="2" t="s">
        <v>0</v>
      </c>
      <c r="G604" s="2" t="str">
        <f t="shared" ref="G604:G613" si="27">"07"</f>
        <v>07</v>
      </c>
      <c r="H604" s="3">
        <v>1233</v>
      </c>
    </row>
    <row r="605" spans="1:8" ht="29.25" x14ac:dyDescent="0.25">
      <c r="A605" s="2" t="str">
        <f>"00025337"</f>
        <v>00025337</v>
      </c>
      <c r="B605" s="2" t="str">
        <f t="shared" si="26"/>
        <v>SG</v>
      </c>
      <c r="C605" s="4" t="s">
        <v>402</v>
      </c>
      <c r="D605" s="4" t="s">
        <v>0</v>
      </c>
      <c r="E605" s="4" t="s">
        <v>12</v>
      </c>
      <c r="F605" s="2" t="s">
        <v>0</v>
      </c>
      <c r="G605" s="2" t="str">
        <f t="shared" si="27"/>
        <v>07</v>
      </c>
      <c r="H605" s="3">
        <v>1233</v>
      </c>
    </row>
    <row r="606" spans="1:8" x14ac:dyDescent="0.25">
      <c r="A606" s="2" t="str">
        <f>"00025350"</f>
        <v>00025350</v>
      </c>
      <c r="B606" s="2" t="str">
        <f t="shared" si="26"/>
        <v>SG</v>
      </c>
      <c r="C606" s="4" t="s">
        <v>403</v>
      </c>
      <c r="D606" s="4" t="s">
        <v>0</v>
      </c>
      <c r="E606" s="4" t="s">
        <v>12</v>
      </c>
      <c r="F606" s="2" t="s">
        <v>0</v>
      </c>
      <c r="G606" s="2" t="str">
        <f t="shared" si="27"/>
        <v>07</v>
      </c>
      <c r="H606" s="3">
        <v>1233</v>
      </c>
    </row>
    <row r="607" spans="1:8" x14ac:dyDescent="0.25">
      <c r="A607" s="2" t="str">
        <f>"00025355"</f>
        <v>00025355</v>
      </c>
      <c r="B607" s="2" t="str">
        <f t="shared" si="26"/>
        <v>SG</v>
      </c>
      <c r="C607" s="4" t="s">
        <v>403</v>
      </c>
      <c r="D607" s="4" t="s">
        <v>0</v>
      </c>
      <c r="E607" s="4" t="s">
        <v>12</v>
      </c>
      <c r="F607" s="2" t="s">
        <v>0</v>
      </c>
      <c r="G607" s="2" t="str">
        <f t="shared" si="27"/>
        <v>07</v>
      </c>
      <c r="H607" s="3">
        <v>1233</v>
      </c>
    </row>
    <row r="608" spans="1:8" x14ac:dyDescent="0.25">
      <c r="A608" s="2" t="str">
        <f>"00025360"</f>
        <v>00025360</v>
      </c>
      <c r="B608" s="2" t="str">
        <f t="shared" si="26"/>
        <v>SG</v>
      </c>
      <c r="C608" s="4" t="s">
        <v>404</v>
      </c>
      <c r="D608" s="4" t="s">
        <v>0</v>
      </c>
      <c r="E608" s="4" t="s">
        <v>12</v>
      </c>
      <c r="F608" s="2" t="s">
        <v>0</v>
      </c>
      <c r="G608" s="2" t="str">
        <f t="shared" si="27"/>
        <v>07</v>
      </c>
      <c r="H608" s="3">
        <v>1233</v>
      </c>
    </row>
    <row r="609" spans="1:8" x14ac:dyDescent="0.25">
      <c r="A609" s="2" t="str">
        <f>"00025365"</f>
        <v>00025365</v>
      </c>
      <c r="B609" s="2" t="str">
        <f t="shared" si="26"/>
        <v>SG</v>
      </c>
      <c r="C609" s="4" t="s">
        <v>405</v>
      </c>
      <c r="D609" s="4" t="s">
        <v>0</v>
      </c>
      <c r="E609" s="4" t="s">
        <v>12</v>
      </c>
      <c r="F609" s="2" t="s">
        <v>0</v>
      </c>
      <c r="G609" s="2" t="str">
        <f t="shared" si="27"/>
        <v>07</v>
      </c>
      <c r="H609" s="3">
        <v>1233</v>
      </c>
    </row>
    <row r="610" spans="1:8" x14ac:dyDescent="0.25">
      <c r="A610" s="2" t="str">
        <f>"00025370"</f>
        <v>00025370</v>
      </c>
      <c r="B610" s="2" t="str">
        <f t="shared" si="26"/>
        <v>SG</v>
      </c>
      <c r="C610" s="4" t="s">
        <v>406</v>
      </c>
      <c r="D610" s="4" t="s">
        <v>0</v>
      </c>
      <c r="E610" s="4" t="s">
        <v>12</v>
      </c>
      <c r="F610" s="2" t="s">
        <v>0</v>
      </c>
      <c r="G610" s="2" t="str">
        <f t="shared" si="27"/>
        <v>07</v>
      </c>
      <c r="H610" s="3">
        <v>1233</v>
      </c>
    </row>
    <row r="611" spans="1:8" x14ac:dyDescent="0.25">
      <c r="A611" s="2" t="str">
        <f>"00025375"</f>
        <v>00025375</v>
      </c>
      <c r="B611" s="2" t="str">
        <f t="shared" si="26"/>
        <v>SG</v>
      </c>
      <c r="C611" s="4" t="s">
        <v>405</v>
      </c>
      <c r="D611" s="4" t="s">
        <v>0</v>
      </c>
      <c r="E611" s="4" t="s">
        <v>12</v>
      </c>
      <c r="F611" s="2" t="s">
        <v>0</v>
      </c>
      <c r="G611" s="2" t="str">
        <f t="shared" si="27"/>
        <v>07</v>
      </c>
      <c r="H611" s="3">
        <v>1233</v>
      </c>
    </row>
    <row r="612" spans="1:8" x14ac:dyDescent="0.25">
      <c r="A612" s="2" t="str">
        <f>"00025390"</f>
        <v>00025390</v>
      </c>
      <c r="B612" s="2" t="str">
        <f t="shared" si="26"/>
        <v>SG</v>
      </c>
      <c r="C612" s="4" t="s">
        <v>407</v>
      </c>
      <c r="D612" s="4" t="s">
        <v>0</v>
      </c>
      <c r="E612" s="4" t="s">
        <v>12</v>
      </c>
      <c r="F612" s="2" t="s">
        <v>0</v>
      </c>
      <c r="G612" s="2" t="str">
        <f t="shared" si="27"/>
        <v>07</v>
      </c>
      <c r="H612" s="3">
        <v>1233</v>
      </c>
    </row>
    <row r="613" spans="1:8" ht="29.25" x14ac:dyDescent="0.25">
      <c r="A613" s="2" t="str">
        <f>"00025391"</f>
        <v>00025391</v>
      </c>
      <c r="B613" s="2" t="str">
        <f t="shared" si="26"/>
        <v>SG</v>
      </c>
      <c r="C613" s="4" t="s">
        <v>408</v>
      </c>
      <c r="D613" s="4" t="s">
        <v>0</v>
      </c>
      <c r="E613" s="4" t="s">
        <v>12</v>
      </c>
      <c r="F613" s="2" t="s">
        <v>0</v>
      </c>
      <c r="G613" s="2" t="str">
        <f t="shared" si="27"/>
        <v>07</v>
      </c>
      <c r="H613" s="3">
        <v>1233</v>
      </c>
    </row>
    <row r="614" spans="1:8" x14ac:dyDescent="0.25">
      <c r="A614" s="2" t="str">
        <f>"00025392"</f>
        <v>00025392</v>
      </c>
      <c r="B614" s="2" t="str">
        <f t="shared" si="26"/>
        <v>SG</v>
      </c>
      <c r="C614" s="4" t="s">
        <v>409</v>
      </c>
      <c r="D614" s="4" t="s">
        <v>0</v>
      </c>
      <c r="E614" s="4" t="s">
        <v>12</v>
      </c>
      <c r="F614" s="2" t="s">
        <v>0</v>
      </c>
      <c r="G614" s="2" t="str">
        <f>"04"</f>
        <v>04</v>
      </c>
      <c r="H614" s="3">
        <v>785</v>
      </c>
    </row>
    <row r="615" spans="1:8" x14ac:dyDescent="0.25">
      <c r="A615" s="2" t="str">
        <f>"00025393"</f>
        <v>00025393</v>
      </c>
      <c r="B615" s="2" t="str">
        <f t="shared" si="26"/>
        <v>SG</v>
      </c>
      <c r="C615" s="4" t="s">
        <v>410</v>
      </c>
      <c r="D615" s="4" t="s">
        <v>0</v>
      </c>
      <c r="E615" s="4" t="s">
        <v>12</v>
      </c>
      <c r="F615" s="2" t="s">
        <v>0</v>
      </c>
      <c r="G615" s="2" t="str">
        <f>"07"</f>
        <v>07</v>
      </c>
      <c r="H615" s="3">
        <v>1233</v>
      </c>
    </row>
    <row r="616" spans="1:8" x14ac:dyDescent="0.25">
      <c r="A616" s="2" t="str">
        <f>"00025400"</f>
        <v>00025400</v>
      </c>
      <c r="B616" s="2" t="str">
        <f t="shared" si="26"/>
        <v>SG</v>
      </c>
      <c r="C616" s="4" t="s">
        <v>411</v>
      </c>
      <c r="D616" s="4" t="s">
        <v>0</v>
      </c>
      <c r="E616" s="4" t="s">
        <v>12</v>
      </c>
      <c r="F616" s="2" t="s">
        <v>0</v>
      </c>
      <c r="G616" s="2" t="str">
        <f>"09"</f>
        <v>09</v>
      </c>
      <c r="H616" s="3">
        <v>1662</v>
      </c>
    </row>
    <row r="617" spans="1:8" ht="29.25" x14ac:dyDescent="0.25">
      <c r="A617" s="2" t="str">
        <f>"00025405"</f>
        <v>00025405</v>
      </c>
      <c r="B617" s="2" t="str">
        <f t="shared" si="26"/>
        <v>SG</v>
      </c>
      <c r="C617" s="4" t="s">
        <v>412</v>
      </c>
      <c r="D617" s="4" t="s">
        <v>0</v>
      </c>
      <c r="E617" s="4" t="s">
        <v>12</v>
      </c>
      <c r="F617" s="2" t="s">
        <v>0</v>
      </c>
      <c r="G617" s="2" t="str">
        <f>"09"</f>
        <v>09</v>
      </c>
      <c r="H617" s="3">
        <v>1662</v>
      </c>
    </row>
    <row r="618" spans="1:8" x14ac:dyDescent="0.25">
      <c r="A618" s="2" t="str">
        <f>"00025415"</f>
        <v>00025415</v>
      </c>
      <c r="B618" s="2" t="str">
        <f t="shared" si="26"/>
        <v>SG</v>
      </c>
      <c r="C618" s="4" t="s">
        <v>413</v>
      </c>
      <c r="D618" s="4" t="s">
        <v>0</v>
      </c>
      <c r="E618" s="4" t="s">
        <v>12</v>
      </c>
      <c r="F618" s="2" t="s">
        <v>0</v>
      </c>
      <c r="G618" s="2" t="str">
        <f>"09"</f>
        <v>09</v>
      </c>
      <c r="H618" s="3">
        <v>1662</v>
      </c>
    </row>
    <row r="619" spans="1:8" ht="29.25" x14ac:dyDescent="0.25">
      <c r="A619" s="2" t="str">
        <f>"00025420"</f>
        <v>00025420</v>
      </c>
      <c r="B619" s="2" t="str">
        <f t="shared" si="26"/>
        <v>SG</v>
      </c>
      <c r="C619" s="4" t="s">
        <v>414</v>
      </c>
      <c r="D619" s="4" t="s">
        <v>0</v>
      </c>
      <c r="E619" s="4" t="s">
        <v>12</v>
      </c>
      <c r="F619" s="2" t="s">
        <v>0</v>
      </c>
      <c r="G619" s="2" t="str">
        <f>"09"</f>
        <v>09</v>
      </c>
      <c r="H619" s="3">
        <v>1662</v>
      </c>
    </row>
    <row r="620" spans="1:8" ht="29.25" x14ac:dyDescent="0.25">
      <c r="A620" s="2" t="str">
        <f>"00025425"</f>
        <v>00025425</v>
      </c>
      <c r="B620" s="2" t="str">
        <f t="shared" si="26"/>
        <v>SG</v>
      </c>
      <c r="C620" s="4" t="s">
        <v>412</v>
      </c>
      <c r="D620" s="4" t="s">
        <v>0</v>
      </c>
      <c r="E620" s="4" t="s">
        <v>12</v>
      </c>
      <c r="F620" s="2" t="s">
        <v>0</v>
      </c>
      <c r="G620" s="2" t="str">
        <f>"07"</f>
        <v>07</v>
      </c>
      <c r="H620" s="3">
        <v>1233</v>
      </c>
    </row>
    <row r="621" spans="1:8" ht="29.25" x14ac:dyDescent="0.25">
      <c r="A621" s="2" t="str">
        <f>"00025426"</f>
        <v>00025426</v>
      </c>
      <c r="B621" s="2" t="str">
        <f t="shared" si="26"/>
        <v>SG</v>
      </c>
      <c r="C621" s="4" t="s">
        <v>414</v>
      </c>
      <c r="D621" s="4" t="s">
        <v>0</v>
      </c>
      <c r="E621" s="4" t="s">
        <v>12</v>
      </c>
      <c r="F621" s="2" t="s">
        <v>0</v>
      </c>
      <c r="G621" s="2" t="str">
        <f>"07"</f>
        <v>07</v>
      </c>
      <c r="H621" s="3">
        <v>1233</v>
      </c>
    </row>
    <row r="622" spans="1:8" ht="29.25" x14ac:dyDescent="0.25">
      <c r="A622" s="2" t="str">
        <f>"00025440"</f>
        <v>00025440</v>
      </c>
      <c r="B622" s="2" t="str">
        <f t="shared" si="26"/>
        <v>SG</v>
      </c>
      <c r="C622" s="4" t="s">
        <v>415</v>
      </c>
      <c r="D622" s="4" t="s">
        <v>0</v>
      </c>
      <c r="E622" s="4" t="s">
        <v>12</v>
      </c>
      <c r="F622" s="2" t="s">
        <v>0</v>
      </c>
      <c r="G622" s="2" t="str">
        <f>"07"</f>
        <v>07</v>
      </c>
      <c r="H622" s="3">
        <v>1233</v>
      </c>
    </row>
    <row r="623" spans="1:8" ht="29.25" x14ac:dyDescent="0.25">
      <c r="A623" s="2" t="str">
        <f>"00025441"</f>
        <v>00025441</v>
      </c>
      <c r="B623" s="2" t="str">
        <f t="shared" si="26"/>
        <v>SG</v>
      </c>
      <c r="C623" s="4" t="s">
        <v>416</v>
      </c>
      <c r="D623" s="4" t="s">
        <v>0</v>
      </c>
      <c r="E623" s="4" t="s">
        <v>12</v>
      </c>
      <c r="F623" s="2" t="s">
        <v>0</v>
      </c>
      <c r="G623" s="2" t="str">
        <f>"09"</f>
        <v>09</v>
      </c>
      <c r="H623" s="3">
        <v>1662</v>
      </c>
    </row>
    <row r="624" spans="1:8" ht="29.25" x14ac:dyDescent="0.25">
      <c r="A624" s="2" t="str">
        <f>"00025442"</f>
        <v>00025442</v>
      </c>
      <c r="B624" s="2" t="str">
        <f t="shared" si="26"/>
        <v>SG</v>
      </c>
      <c r="C624" s="4" t="s">
        <v>416</v>
      </c>
      <c r="D624" s="4" t="s">
        <v>0</v>
      </c>
      <c r="E624" s="4" t="s">
        <v>12</v>
      </c>
      <c r="F624" s="2" t="s">
        <v>0</v>
      </c>
      <c r="G624" s="2" t="str">
        <f>"09"</f>
        <v>09</v>
      </c>
      <c r="H624" s="3">
        <v>1662</v>
      </c>
    </row>
    <row r="625" spans="1:8" ht="29.25" x14ac:dyDescent="0.25">
      <c r="A625" s="2" t="str">
        <f>"00025443"</f>
        <v>00025443</v>
      </c>
      <c r="B625" s="2" t="str">
        <f t="shared" si="26"/>
        <v>SG</v>
      </c>
      <c r="C625" s="4" t="s">
        <v>416</v>
      </c>
      <c r="D625" s="4" t="s">
        <v>0</v>
      </c>
      <c r="E625" s="4" t="s">
        <v>12</v>
      </c>
      <c r="F625" s="2" t="s">
        <v>0</v>
      </c>
      <c r="G625" s="2" t="str">
        <f>"06"</f>
        <v>06</v>
      </c>
      <c r="H625" s="3">
        <v>1000</v>
      </c>
    </row>
    <row r="626" spans="1:8" ht="29.25" x14ac:dyDescent="0.25">
      <c r="A626" s="2" t="str">
        <f>"00025444"</f>
        <v>00025444</v>
      </c>
      <c r="B626" s="2" t="str">
        <f t="shared" si="26"/>
        <v>SG</v>
      </c>
      <c r="C626" s="4" t="s">
        <v>416</v>
      </c>
      <c r="D626" s="4" t="s">
        <v>0</v>
      </c>
      <c r="E626" s="4" t="s">
        <v>12</v>
      </c>
      <c r="F626" s="2" t="s">
        <v>0</v>
      </c>
      <c r="G626" s="2" t="str">
        <f>"09"</f>
        <v>09</v>
      </c>
      <c r="H626" s="3">
        <v>1662</v>
      </c>
    </row>
    <row r="627" spans="1:8" ht="29.25" x14ac:dyDescent="0.25">
      <c r="A627" s="2" t="str">
        <f>"00025445"</f>
        <v>00025445</v>
      </c>
      <c r="B627" s="2" t="str">
        <f t="shared" si="26"/>
        <v>SG</v>
      </c>
      <c r="C627" s="4" t="s">
        <v>416</v>
      </c>
      <c r="D627" s="4" t="s">
        <v>0</v>
      </c>
      <c r="E627" s="4" t="s">
        <v>12</v>
      </c>
      <c r="F627" s="2" t="s">
        <v>0</v>
      </c>
      <c r="G627" s="2" t="str">
        <f>"06"</f>
        <v>06</v>
      </c>
      <c r="H627" s="3">
        <v>1000</v>
      </c>
    </row>
    <row r="628" spans="1:8" x14ac:dyDescent="0.25">
      <c r="A628" s="2" t="str">
        <f>"00025446"</f>
        <v>00025446</v>
      </c>
      <c r="B628" s="2" t="str">
        <f t="shared" si="26"/>
        <v>SG</v>
      </c>
      <c r="C628" s="4" t="s">
        <v>417</v>
      </c>
      <c r="D628" s="4" t="s">
        <v>0</v>
      </c>
      <c r="E628" s="4" t="s">
        <v>12</v>
      </c>
      <c r="F628" s="2" t="s">
        <v>0</v>
      </c>
      <c r="G628" s="2" t="str">
        <f>"09"</f>
        <v>09</v>
      </c>
      <c r="H628" s="3">
        <v>1662</v>
      </c>
    </row>
    <row r="629" spans="1:8" x14ac:dyDescent="0.25">
      <c r="A629" s="2" t="str">
        <f>"00025447"</f>
        <v>00025447</v>
      </c>
      <c r="B629" s="2" t="str">
        <f t="shared" si="26"/>
        <v>SG</v>
      </c>
      <c r="C629" s="4" t="s">
        <v>418</v>
      </c>
      <c r="D629" s="4" t="s">
        <v>0</v>
      </c>
      <c r="E629" s="4" t="s">
        <v>12</v>
      </c>
      <c r="F629" s="2" t="s">
        <v>0</v>
      </c>
      <c r="G629" s="2" t="str">
        <f>"06"</f>
        <v>06</v>
      </c>
      <c r="H629" s="3">
        <v>1000</v>
      </c>
    </row>
    <row r="630" spans="1:8" ht="29.25" x14ac:dyDescent="0.25">
      <c r="A630" s="2" t="str">
        <f>"00025449"</f>
        <v>00025449</v>
      </c>
      <c r="B630" s="2" t="str">
        <f t="shared" si="26"/>
        <v>SG</v>
      </c>
      <c r="C630" s="4" t="s">
        <v>419</v>
      </c>
      <c r="D630" s="4" t="s">
        <v>0</v>
      </c>
      <c r="E630" s="4" t="s">
        <v>12</v>
      </c>
      <c r="F630" s="2" t="s">
        <v>0</v>
      </c>
      <c r="G630" s="2" t="str">
        <f>"06"</f>
        <v>06</v>
      </c>
      <c r="H630" s="3">
        <v>1000</v>
      </c>
    </row>
    <row r="631" spans="1:8" x14ac:dyDescent="0.25">
      <c r="A631" s="2" t="str">
        <f>"00025450"</f>
        <v>00025450</v>
      </c>
      <c r="B631" s="2" t="str">
        <f t="shared" si="26"/>
        <v>SG</v>
      </c>
      <c r="C631" s="4" t="s">
        <v>420</v>
      </c>
      <c r="D631" s="4" t="s">
        <v>0</v>
      </c>
      <c r="E631" s="4" t="s">
        <v>12</v>
      </c>
      <c r="F631" s="2" t="s">
        <v>0</v>
      </c>
      <c r="G631" s="2" t="str">
        <f>"07"</f>
        <v>07</v>
      </c>
      <c r="H631" s="3">
        <v>1233</v>
      </c>
    </row>
    <row r="632" spans="1:8" x14ac:dyDescent="0.25">
      <c r="A632" s="2" t="str">
        <f>"00025455"</f>
        <v>00025455</v>
      </c>
      <c r="B632" s="2" t="str">
        <f t="shared" si="26"/>
        <v>SG</v>
      </c>
      <c r="C632" s="4" t="s">
        <v>420</v>
      </c>
      <c r="D632" s="4" t="s">
        <v>0</v>
      </c>
      <c r="E632" s="4" t="s">
        <v>12</v>
      </c>
      <c r="F632" s="2" t="s">
        <v>0</v>
      </c>
      <c r="G632" s="2" t="str">
        <f>"07"</f>
        <v>07</v>
      </c>
      <c r="H632" s="3">
        <v>1233</v>
      </c>
    </row>
    <row r="633" spans="1:8" x14ac:dyDescent="0.25">
      <c r="A633" s="2" t="str">
        <f>"00025490"</f>
        <v>00025490</v>
      </c>
      <c r="B633" s="2" t="str">
        <f t="shared" si="26"/>
        <v>SG</v>
      </c>
      <c r="C633" s="4" t="s">
        <v>421</v>
      </c>
      <c r="D633" s="4" t="s">
        <v>0</v>
      </c>
      <c r="E633" s="4" t="s">
        <v>12</v>
      </c>
      <c r="F633" s="2" t="s">
        <v>0</v>
      </c>
      <c r="G633" s="2" t="str">
        <f>"07"</f>
        <v>07</v>
      </c>
      <c r="H633" s="3">
        <v>1233</v>
      </c>
    </row>
    <row r="634" spans="1:8" x14ac:dyDescent="0.25">
      <c r="A634" s="2" t="str">
        <f>"00025491"</f>
        <v>00025491</v>
      </c>
      <c r="B634" s="2" t="str">
        <f t="shared" si="26"/>
        <v>SG</v>
      </c>
      <c r="C634" s="4" t="s">
        <v>422</v>
      </c>
      <c r="D634" s="4" t="s">
        <v>0</v>
      </c>
      <c r="E634" s="4" t="s">
        <v>12</v>
      </c>
      <c r="F634" s="2" t="s">
        <v>0</v>
      </c>
      <c r="G634" s="2" t="str">
        <f>"07"</f>
        <v>07</v>
      </c>
      <c r="H634" s="3">
        <v>1233</v>
      </c>
    </row>
    <row r="635" spans="1:8" ht="29.25" x14ac:dyDescent="0.25">
      <c r="A635" s="2" t="str">
        <f>"00025492"</f>
        <v>00025492</v>
      </c>
      <c r="B635" s="2" t="str">
        <f t="shared" si="26"/>
        <v>SG</v>
      </c>
      <c r="C635" s="4" t="s">
        <v>423</v>
      </c>
      <c r="D635" s="4" t="s">
        <v>0</v>
      </c>
      <c r="E635" s="4" t="s">
        <v>12</v>
      </c>
      <c r="F635" s="2" t="s">
        <v>0</v>
      </c>
      <c r="G635" s="2" t="str">
        <f>"07"</f>
        <v>07</v>
      </c>
      <c r="H635" s="3">
        <v>1233</v>
      </c>
    </row>
    <row r="636" spans="1:8" ht="29.25" x14ac:dyDescent="0.25">
      <c r="A636" s="2" t="str">
        <f>"00025505"</f>
        <v>00025505</v>
      </c>
      <c r="B636" s="2" t="str">
        <f t="shared" si="26"/>
        <v>SG</v>
      </c>
      <c r="C636" s="4" t="s">
        <v>424</v>
      </c>
      <c r="D636" s="4" t="s">
        <v>0</v>
      </c>
      <c r="E636" s="4" t="s">
        <v>12</v>
      </c>
      <c r="F636" s="2" t="s">
        <v>0</v>
      </c>
      <c r="G636" s="2" t="str">
        <f>"01"</f>
        <v>01</v>
      </c>
      <c r="H636" s="3">
        <v>413</v>
      </c>
    </row>
    <row r="637" spans="1:8" ht="29.25" x14ac:dyDescent="0.25">
      <c r="A637" s="2" t="str">
        <f>"00025515"</f>
        <v>00025515</v>
      </c>
      <c r="B637" s="2" t="str">
        <f t="shared" si="26"/>
        <v>SG</v>
      </c>
      <c r="C637" s="4" t="s">
        <v>424</v>
      </c>
      <c r="D637" s="4" t="s">
        <v>0</v>
      </c>
      <c r="E637" s="4" t="s">
        <v>12</v>
      </c>
      <c r="F637" s="2" t="s">
        <v>0</v>
      </c>
      <c r="G637" s="2" t="str">
        <f>"08"</f>
        <v>08</v>
      </c>
      <c r="H637" s="3">
        <v>1183</v>
      </c>
    </row>
    <row r="638" spans="1:8" ht="29.25" x14ac:dyDescent="0.25">
      <c r="A638" s="2" t="str">
        <f>"00025520"</f>
        <v>00025520</v>
      </c>
      <c r="B638" s="2" t="str">
        <f t="shared" si="26"/>
        <v>SG</v>
      </c>
      <c r="C638" s="4" t="s">
        <v>424</v>
      </c>
      <c r="D638" s="4" t="s">
        <v>0</v>
      </c>
      <c r="E638" s="4" t="s">
        <v>12</v>
      </c>
      <c r="F638" s="2" t="s">
        <v>0</v>
      </c>
      <c r="G638" s="2" t="str">
        <f>"01"</f>
        <v>01</v>
      </c>
      <c r="H638" s="3">
        <v>413</v>
      </c>
    </row>
    <row r="639" spans="1:8" ht="29.25" x14ac:dyDescent="0.25">
      <c r="A639" s="2" t="str">
        <f>"00025525"</f>
        <v>00025525</v>
      </c>
      <c r="B639" s="2" t="str">
        <f t="shared" si="26"/>
        <v>SG</v>
      </c>
      <c r="C639" s="4" t="s">
        <v>424</v>
      </c>
      <c r="D639" s="4" t="s">
        <v>0</v>
      </c>
      <c r="E639" s="4" t="s">
        <v>12</v>
      </c>
      <c r="F639" s="2" t="s">
        <v>0</v>
      </c>
      <c r="G639" s="2" t="str">
        <f>"08"</f>
        <v>08</v>
      </c>
      <c r="H639" s="3">
        <v>1183</v>
      </c>
    </row>
    <row r="640" spans="1:8" ht="29.25" x14ac:dyDescent="0.25">
      <c r="A640" s="2" t="str">
        <f>"00025526"</f>
        <v>00025526</v>
      </c>
      <c r="B640" s="2" t="str">
        <f t="shared" si="26"/>
        <v>SG</v>
      </c>
      <c r="C640" s="4" t="s">
        <v>424</v>
      </c>
      <c r="D640" s="4" t="s">
        <v>0</v>
      </c>
      <c r="E640" s="4" t="s">
        <v>12</v>
      </c>
      <c r="F640" s="2" t="s">
        <v>0</v>
      </c>
      <c r="G640" s="2" t="str">
        <f>"08"</f>
        <v>08</v>
      </c>
      <c r="H640" s="3">
        <v>1183</v>
      </c>
    </row>
    <row r="641" spans="1:8" x14ac:dyDescent="0.25">
      <c r="A641" s="2" t="str">
        <f>"00025535"</f>
        <v>00025535</v>
      </c>
      <c r="B641" s="2" t="str">
        <f t="shared" si="26"/>
        <v>SG</v>
      </c>
      <c r="C641" s="4" t="s">
        <v>425</v>
      </c>
      <c r="D641" s="4" t="s">
        <v>0</v>
      </c>
      <c r="E641" s="4" t="s">
        <v>12</v>
      </c>
      <c r="F641" s="2" t="s">
        <v>0</v>
      </c>
      <c r="G641" s="2" t="str">
        <f>"01"</f>
        <v>01</v>
      </c>
      <c r="H641" s="3">
        <v>413</v>
      </c>
    </row>
    <row r="642" spans="1:8" x14ac:dyDescent="0.25">
      <c r="A642" s="2" t="str">
        <f>"00025545"</f>
        <v>00025545</v>
      </c>
      <c r="B642" s="2" t="str">
        <f t="shared" si="26"/>
        <v>SG</v>
      </c>
      <c r="C642" s="4" t="s">
        <v>425</v>
      </c>
      <c r="D642" s="4" t="s">
        <v>0</v>
      </c>
      <c r="E642" s="4" t="s">
        <v>12</v>
      </c>
      <c r="F642" s="2" t="s">
        <v>0</v>
      </c>
      <c r="G642" s="2" t="str">
        <f>"08"</f>
        <v>08</v>
      </c>
      <c r="H642" s="3">
        <v>1183</v>
      </c>
    </row>
    <row r="643" spans="1:8" ht="29.25" x14ac:dyDescent="0.25">
      <c r="A643" s="2" t="str">
        <f>"00025565"</f>
        <v>00025565</v>
      </c>
      <c r="B643" s="2" t="str">
        <f t="shared" si="26"/>
        <v>SG</v>
      </c>
      <c r="C643" s="4" t="s">
        <v>426</v>
      </c>
      <c r="D643" s="4" t="s">
        <v>0</v>
      </c>
      <c r="E643" s="4" t="s">
        <v>12</v>
      </c>
      <c r="F643" s="2" t="s">
        <v>0</v>
      </c>
      <c r="G643" s="2" t="str">
        <f>"01"</f>
        <v>01</v>
      </c>
      <c r="H643" s="3">
        <v>413</v>
      </c>
    </row>
    <row r="644" spans="1:8" ht="29.25" x14ac:dyDescent="0.25">
      <c r="A644" s="2" t="str">
        <f>"00025574"</f>
        <v>00025574</v>
      </c>
      <c r="B644" s="2" t="str">
        <f t="shared" si="26"/>
        <v>SG</v>
      </c>
      <c r="C644" s="4" t="s">
        <v>426</v>
      </c>
      <c r="D644" s="4" t="s">
        <v>0</v>
      </c>
      <c r="E644" s="4" t="s">
        <v>12</v>
      </c>
      <c r="F644" s="2" t="s">
        <v>0</v>
      </c>
      <c r="G644" s="2" t="str">
        <f>"09"</f>
        <v>09</v>
      </c>
      <c r="H644" s="3">
        <v>1662</v>
      </c>
    </row>
    <row r="645" spans="1:8" ht="29.25" x14ac:dyDescent="0.25">
      <c r="A645" s="2" t="str">
        <f>"00025575"</f>
        <v>00025575</v>
      </c>
      <c r="B645" s="2" t="str">
        <f t="shared" si="26"/>
        <v>SG</v>
      </c>
      <c r="C645" s="4" t="s">
        <v>427</v>
      </c>
      <c r="D645" s="4" t="s">
        <v>0</v>
      </c>
      <c r="E645" s="4" t="s">
        <v>12</v>
      </c>
      <c r="F645" s="2" t="s">
        <v>0</v>
      </c>
      <c r="G645" s="2" t="str">
        <f>"09"</f>
        <v>09</v>
      </c>
      <c r="H645" s="3">
        <v>1662</v>
      </c>
    </row>
    <row r="646" spans="1:8" ht="29.25" x14ac:dyDescent="0.25">
      <c r="A646" s="2" t="str">
        <f>"00025605"</f>
        <v>00025605</v>
      </c>
      <c r="B646" s="2" t="str">
        <f t="shared" si="26"/>
        <v>SG</v>
      </c>
      <c r="C646" s="4" t="s">
        <v>427</v>
      </c>
      <c r="D646" s="4" t="s">
        <v>0</v>
      </c>
      <c r="E646" s="4" t="s">
        <v>12</v>
      </c>
      <c r="F646" s="2" t="s">
        <v>0</v>
      </c>
      <c r="G646" s="2" t="str">
        <f>"01"</f>
        <v>01</v>
      </c>
      <c r="H646" s="3">
        <v>413</v>
      </c>
    </row>
    <row r="647" spans="1:8" x14ac:dyDescent="0.25">
      <c r="A647" s="2" t="str">
        <f>"00025606"</f>
        <v>00025606</v>
      </c>
      <c r="B647" s="2" t="str">
        <f t="shared" si="26"/>
        <v>SG</v>
      </c>
      <c r="C647" s="4" t="s">
        <v>428</v>
      </c>
      <c r="D647" s="4" t="s">
        <v>0</v>
      </c>
      <c r="E647" s="4" t="s">
        <v>12</v>
      </c>
      <c r="F647" s="2" t="s">
        <v>0</v>
      </c>
      <c r="G647" s="2" t="str">
        <f>"03"</f>
        <v>03</v>
      </c>
      <c r="H647" s="3">
        <v>637</v>
      </c>
    </row>
    <row r="648" spans="1:8" ht="29.25" x14ac:dyDescent="0.25">
      <c r="A648" s="2" t="str">
        <f>"00025607"</f>
        <v>00025607</v>
      </c>
      <c r="B648" s="2" t="str">
        <f t="shared" si="26"/>
        <v>SG</v>
      </c>
      <c r="C648" s="4" t="s">
        <v>429</v>
      </c>
      <c r="D648" s="4" t="s">
        <v>0</v>
      </c>
      <c r="E648" s="4" t="s">
        <v>12</v>
      </c>
      <c r="F648" s="2" t="s">
        <v>0</v>
      </c>
      <c r="G648" s="2" t="str">
        <f>"09"</f>
        <v>09</v>
      </c>
      <c r="H648" s="3">
        <v>1662</v>
      </c>
    </row>
    <row r="649" spans="1:8" ht="29.25" x14ac:dyDescent="0.25">
      <c r="A649" s="2" t="str">
        <f>"00025608"</f>
        <v>00025608</v>
      </c>
      <c r="B649" s="2" t="str">
        <f t="shared" si="26"/>
        <v>SG</v>
      </c>
      <c r="C649" s="4" t="s">
        <v>430</v>
      </c>
      <c r="D649" s="4" t="s">
        <v>0</v>
      </c>
      <c r="E649" s="4" t="s">
        <v>12</v>
      </c>
      <c r="F649" s="2" t="s">
        <v>0</v>
      </c>
      <c r="G649" s="2" t="str">
        <f>"09"</f>
        <v>09</v>
      </c>
      <c r="H649" s="3">
        <v>1662</v>
      </c>
    </row>
    <row r="650" spans="1:8" x14ac:dyDescent="0.25">
      <c r="A650" s="2" t="str">
        <f>"00025609"</f>
        <v>00025609</v>
      </c>
      <c r="B650" s="2" t="str">
        <f t="shared" si="26"/>
        <v>SG</v>
      </c>
      <c r="C650" s="4" t="s">
        <v>431</v>
      </c>
      <c r="D650" s="4" t="s">
        <v>0</v>
      </c>
      <c r="E650" s="4" t="s">
        <v>12</v>
      </c>
      <c r="F650" s="2" t="s">
        <v>0</v>
      </c>
      <c r="G650" s="2" t="str">
        <f>"09"</f>
        <v>09</v>
      </c>
      <c r="H650" s="3">
        <v>1662</v>
      </c>
    </row>
    <row r="651" spans="1:8" ht="29.25" x14ac:dyDescent="0.25">
      <c r="A651" s="2" t="str">
        <f>"00025624"</f>
        <v>00025624</v>
      </c>
      <c r="B651" s="2" t="str">
        <f t="shared" si="26"/>
        <v>SG</v>
      </c>
      <c r="C651" s="4" t="s">
        <v>432</v>
      </c>
      <c r="D651" s="4" t="s">
        <v>0</v>
      </c>
      <c r="E651" s="4" t="s">
        <v>12</v>
      </c>
      <c r="F651" s="2" t="s">
        <v>0</v>
      </c>
      <c r="G651" s="2" t="str">
        <f>"01"</f>
        <v>01</v>
      </c>
      <c r="H651" s="3">
        <v>413</v>
      </c>
    </row>
    <row r="652" spans="1:8" ht="29.25" x14ac:dyDescent="0.25">
      <c r="A652" s="2" t="str">
        <f>"00025628"</f>
        <v>00025628</v>
      </c>
      <c r="B652" s="2" t="str">
        <f t="shared" si="26"/>
        <v>SG</v>
      </c>
      <c r="C652" s="4" t="s">
        <v>432</v>
      </c>
      <c r="D652" s="4" t="s">
        <v>0</v>
      </c>
      <c r="E652" s="4" t="s">
        <v>12</v>
      </c>
      <c r="F652" s="2" t="s">
        <v>0</v>
      </c>
      <c r="G652" s="2" t="str">
        <f>"08"</f>
        <v>08</v>
      </c>
      <c r="H652" s="3">
        <v>1183</v>
      </c>
    </row>
    <row r="653" spans="1:8" ht="29.25" x14ac:dyDescent="0.25">
      <c r="A653" s="2" t="str">
        <f>"00025635"</f>
        <v>00025635</v>
      </c>
      <c r="B653" s="2" t="str">
        <f t="shared" ref="B653:B716" si="28">"SG"</f>
        <v>SG</v>
      </c>
      <c r="C653" s="4" t="s">
        <v>432</v>
      </c>
      <c r="D653" s="4" t="s">
        <v>0</v>
      </c>
      <c r="E653" s="4" t="s">
        <v>12</v>
      </c>
      <c r="F653" s="2" t="s">
        <v>0</v>
      </c>
      <c r="G653" s="2" t="str">
        <f>"01"</f>
        <v>01</v>
      </c>
      <c r="H653" s="3">
        <v>413</v>
      </c>
    </row>
    <row r="654" spans="1:8" ht="29.25" x14ac:dyDescent="0.25">
      <c r="A654" s="2" t="str">
        <f>"00025645"</f>
        <v>00025645</v>
      </c>
      <c r="B654" s="2" t="str">
        <f t="shared" si="28"/>
        <v>SG</v>
      </c>
      <c r="C654" s="4" t="s">
        <v>432</v>
      </c>
      <c r="D654" s="4" t="s">
        <v>0</v>
      </c>
      <c r="E654" s="4" t="s">
        <v>12</v>
      </c>
      <c r="F654" s="2" t="s">
        <v>0</v>
      </c>
      <c r="G654" s="2" t="str">
        <f>"08"</f>
        <v>08</v>
      </c>
      <c r="H654" s="3">
        <v>1183</v>
      </c>
    </row>
    <row r="655" spans="1:8" x14ac:dyDescent="0.25">
      <c r="A655" s="2" t="str">
        <f>"00025660"</f>
        <v>00025660</v>
      </c>
      <c r="B655" s="2" t="str">
        <f t="shared" si="28"/>
        <v>SG</v>
      </c>
      <c r="C655" s="4" t="s">
        <v>433</v>
      </c>
      <c r="D655" s="4" t="s">
        <v>0</v>
      </c>
      <c r="E655" s="4" t="s">
        <v>12</v>
      </c>
      <c r="F655" s="2" t="s">
        <v>0</v>
      </c>
      <c r="G655" s="2" t="str">
        <f>"01"</f>
        <v>01</v>
      </c>
      <c r="H655" s="3">
        <v>413</v>
      </c>
    </row>
    <row r="656" spans="1:8" x14ac:dyDescent="0.25">
      <c r="A656" s="2" t="str">
        <f>"00025670"</f>
        <v>00025670</v>
      </c>
      <c r="B656" s="2" t="str">
        <f t="shared" si="28"/>
        <v>SG</v>
      </c>
      <c r="C656" s="4" t="s">
        <v>433</v>
      </c>
      <c r="D656" s="4" t="s">
        <v>0</v>
      </c>
      <c r="E656" s="4" t="s">
        <v>12</v>
      </c>
      <c r="F656" s="2" t="s">
        <v>0</v>
      </c>
      <c r="G656" s="2" t="str">
        <f>"03"</f>
        <v>03</v>
      </c>
      <c r="H656" s="3">
        <v>637</v>
      </c>
    </row>
    <row r="657" spans="1:8" ht="29.25" x14ac:dyDescent="0.25">
      <c r="A657" s="2" t="str">
        <f>"00025671"</f>
        <v>00025671</v>
      </c>
      <c r="B657" s="2" t="str">
        <f t="shared" si="28"/>
        <v>SG</v>
      </c>
      <c r="C657" s="4" t="s">
        <v>434</v>
      </c>
      <c r="D657" s="4" t="s">
        <v>0</v>
      </c>
      <c r="E657" s="4" t="s">
        <v>12</v>
      </c>
      <c r="F657" s="2" t="s">
        <v>0</v>
      </c>
      <c r="G657" s="2" t="str">
        <f>"03"</f>
        <v>03</v>
      </c>
      <c r="H657" s="3">
        <v>637</v>
      </c>
    </row>
    <row r="658" spans="1:8" x14ac:dyDescent="0.25">
      <c r="A658" s="2" t="str">
        <f>"00025675"</f>
        <v>00025675</v>
      </c>
      <c r="B658" s="2" t="str">
        <f t="shared" si="28"/>
        <v>SG</v>
      </c>
      <c r="C658" s="4" t="s">
        <v>433</v>
      </c>
      <c r="D658" s="4" t="s">
        <v>0</v>
      </c>
      <c r="E658" s="4" t="s">
        <v>12</v>
      </c>
      <c r="F658" s="2" t="s">
        <v>0</v>
      </c>
      <c r="G658" s="2" t="str">
        <f>"01"</f>
        <v>01</v>
      </c>
      <c r="H658" s="3">
        <v>413</v>
      </c>
    </row>
    <row r="659" spans="1:8" x14ac:dyDescent="0.25">
      <c r="A659" s="2" t="str">
        <f>"00025676"</f>
        <v>00025676</v>
      </c>
      <c r="B659" s="2" t="str">
        <f t="shared" si="28"/>
        <v>SG</v>
      </c>
      <c r="C659" s="4" t="s">
        <v>433</v>
      </c>
      <c r="D659" s="4" t="s">
        <v>0</v>
      </c>
      <c r="E659" s="4" t="s">
        <v>12</v>
      </c>
      <c r="F659" s="2" t="s">
        <v>0</v>
      </c>
      <c r="G659" s="2" t="str">
        <f>"03"</f>
        <v>03</v>
      </c>
      <c r="H659" s="3">
        <v>637</v>
      </c>
    </row>
    <row r="660" spans="1:8" x14ac:dyDescent="0.25">
      <c r="A660" s="2" t="str">
        <f>"00025680"</f>
        <v>00025680</v>
      </c>
      <c r="B660" s="2" t="str">
        <f t="shared" si="28"/>
        <v>SG</v>
      </c>
      <c r="C660" s="4" t="s">
        <v>435</v>
      </c>
      <c r="D660" s="4" t="s">
        <v>0</v>
      </c>
      <c r="E660" s="4" t="s">
        <v>12</v>
      </c>
      <c r="F660" s="2" t="s">
        <v>0</v>
      </c>
      <c r="G660" s="2" t="str">
        <f>"01"</f>
        <v>01</v>
      </c>
      <c r="H660" s="3">
        <v>413</v>
      </c>
    </row>
    <row r="661" spans="1:8" x14ac:dyDescent="0.25">
      <c r="A661" s="2" t="str">
        <f>"00025685"</f>
        <v>00025685</v>
      </c>
      <c r="B661" s="2" t="str">
        <f t="shared" si="28"/>
        <v>SG</v>
      </c>
      <c r="C661" s="4" t="s">
        <v>435</v>
      </c>
      <c r="D661" s="4" t="s">
        <v>0</v>
      </c>
      <c r="E661" s="4" t="s">
        <v>12</v>
      </c>
      <c r="F661" s="2" t="s">
        <v>0</v>
      </c>
      <c r="G661" s="2" t="str">
        <f>"03"</f>
        <v>03</v>
      </c>
      <c r="H661" s="3">
        <v>637</v>
      </c>
    </row>
    <row r="662" spans="1:8" x14ac:dyDescent="0.25">
      <c r="A662" s="2" t="str">
        <f>"00025690"</f>
        <v>00025690</v>
      </c>
      <c r="B662" s="2" t="str">
        <f t="shared" si="28"/>
        <v>SG</v>
      </c>
      <c r="C662" s="4" t="s">
        <v>433</v>
      </c>
      <c r="D662" s="4" t="s">
        <v>0</v>
      </c>
      <c r="E662" s="4" t="s">
        <v>12</v>
      </c>
      <c r="F662" s="2" t="s">
        <v>0</v>
      </c>
      <c r="G662" s="2" t="str">
        <f>"01"</f>
        <v>01</v>
      </c>
      <c r="H662" s="3">
        <v>413</v>
      </c>
    </row>
    <row r="663" spans="1:8" x14ac:dyDescent="0.25">
      <c r="A663" s="2" t="str">
        <f>"00025695"</f>
        <v>00025695</v>
      </c>
      <c r="B663" s="2" t="str">
        <f t="shared" si="28"/>
        <v>SG</v>
      </c>
      <c r="C663" s="4" t="s">
        <v>433</v>
      </c>
      <c r="D663" s="4" t="s">
        <v>0</v>
      </c>
      <c r="E663" s="4" t="s">
        <v>12</v>
      </c>
      <c r="F663" s="2" t="s">
        <v>0</v>
      </c>
      <c r="G663" s="2" t="str">
        <f>"03"</f>
        <v>03</v>
      </c>
      <c r="H663" s="3">
        <v>637</v>
      </c>
    </row>
    <row r="664" spans="1:8" x14ac:dyDescent="0.25">
      <c r="A664" s="2" t="str">
        <f>"00025800"</f>
        <v>00025800</v>
      </c>
      <c r="B664" s="2" t="str">
        <f t="shared" si="28"/>
        <v>SG</v>
      </c>
      <c r="C664" s="4" t="s">
        <v>436</v>
      </c>
      <c r="D664" s="4" t="s">
        <v>0</v>
      </c>
      <c r="E664" s="4" t="s">
        <v>12</v>
      </c>
      <c r="F664" s="2" t="s">
        <v>0</v>
      </c>
      <c r="G664" s="2" t="str">
        <f>"09"</f>
        <v>09</v>
      </c>
      <c r="H664" s="3">
        <v>1662</v>
      </c>
    </row>
    <row r="665" spans="1:8" ht="29.25" x14ac:dyDescent="0.25">
      <c r="A665" s="2" t="str">
        <f>"00025805"</f>
        <v>00025805</v>
      </c>
      <c r="B665" s="2" t="str">
        <f t="shared" si="28"/>
        <v>SG</v>
      </c>
      <c r="C665" s="4" t="s">
        <v>437</v>
      </c>
      <c r="D665" s="4" t="s">
        <v>0</v>
      </c>
      <c r="E665" s="4" t="s">
        <v>12</v>
      </c>
      <c r="F665" s="2" t="s">
        <v>0</v>
      </c>
      <c r="G665" s="2" t="str">
        <f>"09"</f>
        <v>09</v>
      </c>
      <c r="H665" s="3">
        <v>1662</v>
      </c>
    </row>
    <row r="666" spans="1:8" ht="29.25" x14ac:dyDescent="0.25">
      <c r="A666" s="2" t="str">
        <f>"00025810"</f>
        <v>00025810</v>
      </c>
      <c r="B666" s="2" t="str">
        <f t="shared" si="28"/>
        <v>SG</v>
      </c>
      <c r="C666" s="4" t="s">
        <v>437</v>
      </c>
      <c r="D666" s="4" t="s">
        <v>0</v>
      </c>
      <c r="E666" s="4" t="s">
        <v>12</v>
      </c>
      <c r="F666" s="2" t="s">
        <v>0</v>
      </c>
      <c r="G666" s="2" t="str">
        <f>"09"</f>
        <v>09</v>
      </c>
      <c r="H666" s="3">
        <v>1662</v>
      </c>
    </row>
    <row r="667" spans="1:8" x14ac:dyDescent="0.25">
      <c r="A667" s="2" t="str">
        <f>"00025820"</f>
        <v>00025820</v>
      </c>
      <c r="B667" s="2" t="str">
        <f t="shared" si="28"/>
        <v>SG</v>
      </c>
      <c r="C667" s="4" t="s">
        <v>438</v>
      </c>
      <c r="D667" s="4" t="s">
        <v>0</v>
      </c>
      <c r="E667" s="4" t="s">
        <v>12</v>
      </c>
      <c r="F667" s="2" t="s">
        <v>0</v>
      </c>
      <c r="G667" s="2" t="str">
        <f>"08"</f>
        <v>08</v>
      </c>
      <c r="H667" s="3">
        <v>1183</v>
      </c>
    </row>
    <row r="668" spans="1:8" ht="29.25" x14ac:dyDescent="0.25">
      <c r="A668" s="2" t="str">
        <f>"00025825"</f>
        <v>00025825</v>
      </c>
      <c r="B668" s="2" t="str">
        <f t="shared" si="28"/>
        <v>SG</v>
      </c>
      <c r="C668" s="4" t="s">
        <v>439</v>
      </c>
      <c r="D668" s="4" t="s">
        <v>0</v>
      </c>
      <c r="E668" s="4" t="s">
        <v>12</v>
      </c>
      <c r="F668" s="2" t="s">
        <v>0</v>
      </c>
      <c r="G668" s="2" t="str">
        <f>"09"</f>
        <v>09</v>
      </c>
      <c r="H668" s="3">
        <v>1662</v>
      </c>
    </row>
    <row r="669" spans="1:8" ht="29.25" x14ac:dyDescent="0.25">
      <c r="A669" s="2" t="str">
        <f>"00025830"</f>
        <v>00025830</v>
      </c>
      <c r="B669" s="2" t="str">
        <f t="shared" si="28"/>
        <v>SG</v>
      </c>
      <c r="C669" s="4" t="s">
        <v>440</v>
      </c>
      <c r="D669" s="4" t="s">
        <v>0</v>
      </c>
      <c r="E669" s="4" t="s">
        <v>12</v>
      </c>
      <c r="F669" s="2" t="s">
        <v>0</v>
      </c>
      <c r="G669" s="2" t="str">
        <f>"08"</f>
        <v>08</v>
      </c>
      <c r="H669" s="3">
        <v>1183</v>
      </c>
    </row>
    <row r="670" spans="1:8" ht="29.25" x14ac:dyDescent="0.25">
      <c r="A670" s="2" t="str">
        <f>"00025907"</f>
        <v>00025907</v>
      </c>
      <c r="B670" s="2" t="str">
        <f t="shared" si="28"/>
        <v>SG</v>
      </c>
      <c r="C670" s="4" t="s">
        <v>303</v>
      </c>
      <c r="D670" s="4" t="s">
        <v>0</v>
      </c>
      <c r="E670" s="4" t="s">
        <v>12</v>
      </c>
      <c r="F670" s="2" t="s">
        <v>0</v>
      </c>
      <c r="G670" s="2" t="str">
        <f>"02"</f>
        <v>02</v>
      </c>
      <c r="H670" s="3">
        <v>552</v>
      </c>
    </row>
    <row r="671" spans="1:8" x14ac:dyDescent="0.25">
      <c r="A671" s="2" t="str">
        <f>"00025922"</f>
        <v>00025922</v>
      </c>
      <c r="B671" s="2" t="str">
        <f t="shared" si="28"/>
        <v>SG</v>
      </c>
      <c r="C671" s="4" t="s">
        <v>441</v>
      </c>
      <c r="D671" s="4" t="s">
        <v>0</v>
      </c>
      <c r="E671" s="4" t="s">
        <v>12</v>
      </c>
      <c r="F671" s="2" t="s">
        <v>0</v>
      </c>
      <c r="G671" s="2" t="str">
        <f>"02"</f>
        <v>02</v>
      </c>
      <c r="H671" s="3">
        <v>552</v>
      </c>
    </row>
    <row r="672" spans="1:8" ht="29.25" x14ac:dyDescent="0.25">
      <c r="A672" s="2" t="str">
        <f>"00025929"</f>
        <v>00025929</v>
      </c>
      <c r="B672" s="2" t="str">
        <f t="shared" si="28"/>
        <v>SG</v>
      </c>
      <c r="C672" s="4" t="s">
        <v>303</v>
      </c>
      <c r="D672" s="4" t="s">
        <v>0</v>
      </c>
      <c r="E672" s="4" t="s">
        <v>12</v>
      </c>
      <c r="F672" s="2" t="s">
        <v>0</v>
      </c>
      <c r="G672" s="2" t="str">
        <f t="shared" ref="G672:G678" si="29">"01"</f>
        <v>01</v>
      </c>
      <c r="H672" s="3">
        <v>413</v>
      </c>
    </row>
    <row r="673" spans="1:8" ht="29.25" x14ac:dyDescent="0.25">
      <c r="A673" s="2" t="str">
        <f>"00026011"</f>
        <v>00026011</v>
      </c>
      <c r="B673" s="2" t="str">
        <f t="shared" si="28"/>
        <v>SG</v>
      </c>
      <c r="C673" s="4" t="s">
        <v>442</v>
      </c>
      <c r="D673" s="4" t="s">
        <v>0</v>
      </c>
      <c r="E673" s="4" t="s">
        <v>12</v>
      </c>
      <c r="F673" s="2" t="s">
        <v>0</v>
      </c>
      <c r="G673" s="2" t="str">
        <f t="shared" si="29"/>
        <v>01</v>
      </c>
      <c r="H673" s="3">
        <v>413</v>
      </c>
    </row>
    <row r="674" spans="1:8" ht="29.25" x14ac:dyDescent="0.25">
      <c r="A674" s="2" t="str">
        <f>"00026020"</f>
        <v>00026020</v>
      </c>
      <c r="B674" s="2" t="str">
        <f t="shared" si="28"/>
        <v>SG</v>
      </c>
      <c r="C674" s="4" t="s">
        <v>443</v>
      </c>
      <c r="D674" s="4" t="s">
        <v>0</v>
      </c>
      <c r="E674" s="4" t="s">
        <v>12</v>
      </c>
      <c r="F674" s="2" t="s">
        <v>0</v>
      </c>
      <c r="G674" s="2" t="str">
        <f t="shared" si="29"/>
        <v>01</v>
      </c>
      <c r="H674" s="3">
        <v>413</v>
      </c>
    </row>
    <row r="675" spans="1:8" x14ac:dyDescent="0.25">
      <c r="A675" s="2" t="str">
        <f>"00026025"</f>
        <v>00026025</v>
      </c>
      <c r="B675" s="2" t="str">
        <f t="shared" si="28"/>
        <v>SG</v>
      </c>
      <c r="C675" s="4" t="s">
        <v>444</v>
      </c>
      <c r="D675" s="4" t="s">
        <v>0</v>
      </c>
      <c r="E675" s="4" t="s">
        <v>12</v>
      </c>
      <c r="F675" s="2" t="s">
        <v>0</v>
      </c>
      <c r="G675" s="2" t="str">
        <f t="shared" si="29"/>
        <v>01</v>
      </c>
      <c r="H675" s="3">
        <v>413</v>
      </c>
    </row>
    <row r="676" spans="1:8" ht="29.25" x14ac:dyDescent="0.25">
      <c r="A676" s="2" t="str">
        <f>"00026030"</f>
        <v>00026030</v>
      </c>
      <c r="B676" s="2" t="str">
        <f t="shared" si="28"/>
        <v>SG</v>
      </c>
      <c r="C676" s="4" t="s">
        <v>445</v>
      </c>
      <c r="D676" s="4" t="s">
        <v>0</v>
      </c>
      <c r="E676" s="4" t="s">
        <v>12</v>
      </c>
      <c r="F676" s="2" t="s">
        <v>0</v>
      </c>
      <c r="G676" s="2" t="str">
        <f t="shared" si="29"/>
        <v>01</v>
      </c>
      <c r="H676" s="3">
        <v>413</v>
      </c>
    </row>
    <row r="677" spans="1:8" x14ac:dyDescent="0.25">
      <c r="A677" s="2" t="str">
        <f>"00026034"</f>
        <v>00026034</v>
      </c>
      <c r="B677" s="2" t="str">
        <f t="shared" si="28"/>
        <v>SG</v>
      </c>
      <c r="C677" s="4" t="s">
        <v>446</v>
      </c>
      <c r="D677" s="4" t="s">
        <v>0</v>
      </c>
      <c r="E677" s="4" t="s">
        <v>12</v>
      </c>
      <c r="F677" s="2" t="s">
        <v>0</v>
      </c>
      <c r="G677" s="2" t="str">
        <f t="shared" si="29"/>
        <v>01</v>
      </c>
      <c r="H677" s="3">
        <v>413</v>
      </c>
    </row>
    <row r="678" spans="1:8" ht="29.25" x14ac:dyDescent="0.25">
      <c r="A678" s="2" t="str">
        <f>"00026040"</f>
        <v>00026040</v>
      </c>
      <c r="B678" s="2" t="str">
        <f t="shared" si="28"/>
        <v>SG</v>
      </c>
      <c r="C678" s="4" t="s">
        <v>447</v>
      </c>
      <c r="D678" s="4" t="s">
        <v>0</v>
      </c>
      <c r="E678" s="4" t="s">
        <v>12</v>
      </c>
      <c r="F678" s="2" t="s">
        <v>0</v>
      </c>
      <c r="G678" s="2" t="str">
        <f t="shared" si="29"/>
        <v>01</v>
      </c>
      <c r="H678" s="3">
        <v>413</v>
      </c>
    </row>
    <row r="679" spans="1:8" ht="29.25" x14ac:dyDescent="0.25">
      <c r="A679" s="2" t="str">
        <f>"00026045"</f>
        <v>00026045</v>
      </c>
      <c r="B679" s="2" t="str">
        <f t="shared" si="28"/>
        <v>SG</v>
      </c>
      <c r="C679" s="4" t="s">
        <v>447</v>
      </c>
      <c r="D679" s="4" t="s">
        <v>0</v>
      </c>
      <c r="E679" s="4" t="s">
        <v>12</v>
      </c>
      <c r="F679" s="2" t="s">
        <v>0</v>
      </c>
      <c r="G679" s="2" t="str">
        <f>"03"</f>
        <v>03</v>
      </c>
      <c r="H679" s="3">
        <v>637</v>
      </c>
    </row>
    <row r="680" spans="1:8" ht="29.25" x14ac:dyDescent="0.25">
      <c r="A680" s="2" t="str">
        <f>"00026055"</f>
        <v>00026055</v>
      </c>
      <c r="B680" s="2" t="str">
        <f t="shared" si="28"/>
        <v>SG</v>
      </c>
      <c r="C680" s="4" t="s">
        <v>448</v>
      </c>
      <c r="D680" s="4" t="s">
        <v>0</v>
      </c>
      <c r="E680" s="4" t="s">
        <v>12</v>
      </c>
      <c r="F680" s="2" t="s">
        <v>0</v>
      </c>
      <c r="G680" s="2" t="str">
        <f t="shared" ref="G680:G687" si="30">"01"</f>
        <v>01</v>
      </c>
      <c r="H680" s="3">
        <v>413</v>
      </c>
    </row>
    <row r="681" spans="1:8" ht="29.25" x14ac:dyDescent="0.25">
      <c r="A681" s="2" t="str">
        <f>"00026060"</f>
        <v>00026060</v>
      </c>
      <c r="B681" s="2" t="str">
        <f t="shared" si="28"/>
        <v>SG</v>
      </c>
      <c r="C681" s="4" t="s">
        <v>449</v>
      </c>
      <c r="D681" s="4" t="s">
        <v>0</v>
      </c>
      <c r="E681" s="4" t="s">
        <v>12</v>
      </c>
      <c r="F681" s="2" t="s">
        <v>0</v>
      </c>
      <c r="G681" s="2" t="str">
        <f t="shared" si="30"/>
        <v>01</v>
      </c>
      <c r="H681" s="3">
        <v>413</v>
      </c>
    </row>
    <row r="682" spans="1:8" ht="29.25" x14ac:dyDescent="0.25">
      <c r="A682" s="2" t="str">
        <f>"00026070"</f>
        <v>00026070</v>
      </c>
      <c r="B682" s="2" t="str">
        <f t="shared" si="28"/>
        <v>SG</v>
      </c>
      <c r="C682" s="4" t="s">
        <v>450</v>
      </c>
      <c r="D682" s="4" t="s">
        <v>0</v>
      </c>
      <c r="E682" s="4" t="s">
        <v>12</v>
      </c>
      <c r="F682" s="2" t="s">
        <v>0</v>
      </c>
      <c r="G682" s="2" t="str">
        <f t="shared" si="30"/>
        <v>01</v>
      </c>
      <c r="H682" s="3">
        <v>413</v>
      </c>
    </row>
    <row r="683" spans="1:8" ht="29.25" x14ac:dyDescent="0.25">
      <c r="A683" s="2" t="str">
        <f>"00026075"</f>
        <v>00026075</v>
      </c>
      <c r="B683" s="2" t="str">
        <f t="shared" si="28"/>
        <v>SG</v>
      </c>
      <c r="C683" s="4" t="s">
        <v>451</v>
      </c>
      <c r="D683" s="4" t="s">
        <v>0</v>
      </c>
      <c r="E683" s="4" t="s">
        <v>12</v>
      </c>
      <c r="F683" s="2" t="s">
        <v>0</v>
      </c>
      <c r="G683" s="2" t="str">
        <f t="shared" si="30"/>
        <v>01</v>
      </c>
      <c r="H683" s="3">
        <v>413</v>
      </c>
    </row>
    <row r="684" spans="1:8" ht="29.25" x14ac:dyDescent="0.25">
      <c r="A684" s="2" t="str">
        <f>"00026080"</f>
        <v>00026080</v>
      </c>
      <c r="B684" s="2" t="str">
        <f t="shared" si="28"/>
        <v>SG</v>
      </c>
      <c r="C684" s="4" t="s">
        <v>451</v>
      </c>
      <c r="D684" s="4" t="s">
        <v>0</v>
      </c>
      <c r="E684" s="4" t="s">
        <v>12</v>
      </c>
      <c r="F684" s="2" t="s">
        <v>0</v>
      </c>
      <c r="G684" s="2" t="str">
        <f t="shared" si="30"/>
        <v>01</v>
      </c>
      <c r="H684" s="3">
        <v>413</v>
      </c>
    </row>
    <row r="685" spans="1:8" x14ac:dyDescent="0.25">
      <c r="A685" s="2" t="str">
        <f>"00026100"</f>
        <v>00026100</v>
      </c>
      <c r="B685" s="2" t="str">
        <f t="shared" si="28"/>
        <v>SG</v>
      </c>
      <c r="C685" s="4" t="s">
        <v>452</v>
      </c>
      <c r="D685" s="4" t="s">
        <v>0</v>
      </c>
      <c r="E685" s="4" t="s">
        <v>12</v>
      </c>
      <c r="F685" s="2" t="s">
        <v>0</v>
      </c>
      <c r="G685" s="2" t="str">
        <f t="shared" si="30"/>
        <v>01</v>
      </c>
      <c r="H685" s="3">
        <v>413</v>
      </c>
    </row>
    <row r="686" spans="1:8" ht="29.25" x14ac:dyDescent="0.25">
      <c r="A686" s="2" t="str">
        <f>"00026105"</f>
        <v>00026105</v>
      </c>
      <c r="B686" s="2" t="str">
        <f t="shared" si="28"/>
        <v>SG</v>
      </c>
      <c r="C686" s="4" t="s">
        <v>453</v>
      </c>
      <c r="D686" s="4" t="s">
        <v>0</v>
      </c>
      <c r="E686" s="4" t="s">
        <v>12</v>
      </c>
      <c r="F686" s="2" t="s">
        <v>0</v>
      </c>
      <c r="G686" s="2" t="str">
        <f t="shared" si="30"/>
        <v>01</v>
      </c>
      <c r="H686" s="3">
        <v>413</v>
      </c>
    </row>
    <row r="687" spans="1:8" ht="29.25" x14ac:dyDescent="0.25">
      <c r="A687" s="2" t="str">
        <f>"00026110"</f>
        <v>00026110</v>
      </c>
      <c r="B687" s="2" t="str">
        <f t="shared" si="28"/>
        <v>SG</v>
      </c>
      <c r="C687" s="4" t="s">
        <v>453</v>
      </c>
      <c r="D687" s="4" t="s">
        <v>0</v>
      </c>
      <c r="E687" s="4" t="s">
        <v>12</v>
      </c>
      <c r="F687" s="2" t="s">
        <v>0</v>
      </c>
      <c r="G687" s="2" t="str">
        <f t="shared" si="30"/>
        <v>01</v>
      </c>
      <c r="H687" s="3">
        <v>413</v>
      </c>
    </row>
    <row r="688" spans="1:8" ht="29.25" x14ac:dyDescent="0.25">
      <c r="A688" s="2" t="str">
        <f>"00026111"</f>
        <v>00026111</v>
      </c>
      <c r="B688" s="2" t="str">
        <f t="shared" si="28"/>
        <v>SG</v>
      </c>
      <c r="C688" s="4" t="s">
        <v>454</v>
      </c>
      <c r="D688" s="4" t="s">
        <v>0</v>
      </c>
      <c r="E688" s="4" t="s">
        <v>12</v>
      </c>
      <c r="F688" s="2" t="s">
        <v>0</v>
      </c>
      <c r="G688" s="2" t="str">
        <f>"02"</f>
        <v>02</v>
      </c>
      <c r="H688" s="3">
        <v>552</v>
      </c>
    </row>
    <row r="689" spans="1:8" ht="29.25" x14ac:dyDescent="0.25">
      <c r="A689" s="2" t="str">
        <f>"00026113"</f>
        <v>00026113</v>
      </c>
      <c r="B689" s="2" t="str">
        <f t="shared" si="28"/>
        <v>SG</v>
      </c>
      <c r="C689" s="4" t="s">
        <v>455</v>
      </c>
      <c r="D689" s="4" t="s">
        <v>0</v>
      </c>
      <c r="E689" s="4" t="s">
        <v>12</v>
      </c>
      <c r="F689" s="2" t="s">
        <v>0</v>
      </c>
      <c r="G689" s="2" t="str">
        <f>"02"</f>
        <v>02</v>
      </c>
      <c r="H689" s="3">
        <v>552</v>
      </c>
    </row>
    <row r="690" spans="1:8" ht="29.25" x14ac:dyDescent="0.25">
      <c r="A690" s="2" t="str">
        <f>"00026115"</f>
        <v>00026115</v>
      </c>
      <c r="B690" s="2" t="str">
        <f t="shared" si="28"/>
        <v>SG</v>
      </c>
      <c r="C690" s="4" t="s">
        <v>456</v>
      </c>
      <c r="D690" s="4" t="s">
        <v>0</v>
      </c>
      <c r="E690" s="4" t="s">
        <v>12</v>
      </c>
      <c r="F690" s="2" t="s">
        <v>0</v>
      </c>
      <c r="G690" s="2" t="str">
        <f>"01"</f>
        <v>01</v>
      </c>
      <c r="H690" s="3">
        <v>413</v>
      </c>
    </row>
    <row r="691" spans="1:8" ht="29.25" x14ac:dyDescent="0.25">
      <c r="A691" s="2" t="str">
        <f>"00026116"</f>
        <v>00026116</v>
      </c>
      <c r="B691" s="2" t="str">
        <f t="shared" si="28"/>
        <v>SG</v>
      </c>
      <c r="C691" s="4" t="s">
        <v>457</v>
      </c>
      <c r="D691" s="4" t="s">
        <v>0</v>
      </c>
      <c r="E691" s="4" t="s">
        <v>12</v>
      </c>
      <c r="F691" s="2" t="s">
        <v>0</v>
      </c>
      <c r="G691" s="2" t="str">
        <f>"01"</f>
        <v>01</v>
      </c>
      <c r="H691" s="3">
        <v>413</v>
      </c>
    </row>
    <row r="692" spans="1:8" ht="29.25" x14ac:dyDescent="0.25">
      <c r="A692" s="2" t="str">
        <f>"00026117"</f>
        <v>00026117</v>
      </c>
      <c r="B692" s="2" t="str">
        <f t="shared" si="28"/>
        <v>SG</v>
      </c>
      <c r="C692" s="4" t="s">
        <v>458</v>
      </c>
      <c r="D692" s="4" t="s">
        <v>0</v>
      </c>
      <c r="E692" s="4" t="s">
        <v>12</v>
      </c>
      <c r="F692" s="2" t="s">
        <v>0</v>
      </c>
      <c r="G692" s="2" t="str">
        <f>"01"</f>
        <v>01</v>
      </c>
      <c r="H692" s="3">
        <v>413</v>
      </c>
    </row>
    <row r="693" spans="1:8" ht="29.25" x14ac:dyDescent="0.25">
      <c r="A693" s="2" t="str">
        <f>"00026118"</f>
        <v>00026118</v>
      </c>
      <c r="B693" s="2" t="str">
        <f t="shared" si="28"/>
        <v>SG</v>
      </c>
      <c r="C693" s="4" t="s">
        <v>459</v>
      </c>
      <c r="D693" s="4" t="s">
        <v>0</v>
      </c>
      <c r="E693" s="4" t="s">
        <v>12</v>
      </c>
      <c r="F693" s="2" t="s">
        <v>0</v>
      </c>
      <c r="G693" s="2" t="str">
        <f>"02"</f>
        <v>02</v>
      </c>
      <c r="H693" s="3">
        <v>552</v>
      </c>
    </row>
    <row r="694" spans="1:8" ht="29.25" x14ac:dyDescent="0.25">
      <c r="A694" s="2" t="str">
        <f>"00026121"</f>
        <v>00026121</v>
      </c>
      <c r="B694" s="2" t="str">
        <f t="shared" si="28"/>
        <v>SG</v>
      </c>
      <c r="C694" s="4" t="s">
        <v>447</v>
      </c>
      <c r="D694" s="4" t="s">
        <v>0</v>
      </c>
      <c r="E694" s="4" t="s">
        <v>12</v>
      </c>
      <c r="F694" s="2" t="s">
        <v>0</v>
      </c>
      <c r="G694" s="2" t="str">
        <f>"03"</f>
        <v>03</v>
      </c>
      <c r="H694" s="3">
        <v>637</v>
      </c>
    </row>
    <row r="695" spans="1:8" ht="29.25" x14ac:dyDescent="0.25">
      <c r="A695" s="2" t="str">
        <f>"00026123"</f>
        <v>00026123</v>
      </c>
      <c r="B695" s="2" t="str">
        <f t="shared" si="28"/>
        <v>SG</v>
      </c>
      <c r="C695" s="4" t="s">
        <v>447</v>
      </c>
      <c r="D695" s="4" t="s">
        <v>0</v>
      </c>
      <c r="E695" s="4" t="s">
        <v>12</v>
      </c>
      <c r="F695" s="2" t="s">
        <v>0</v>
      </c>
      <c r="G695" s="2" t="str">
        <f>"03"</f>
        <v>03</v>
      </c>
      <c r="H695" s="3">
        <v>637</v>
      </c>
    </row>
    <row r="696" spans="1:8" ht="29.25" x14ac:dyDescent="0.25">
      <c r="A696" s="2" t="str">
        <f>"00026125"</f>
        <v>00026125</v>
      </c>
      <c r="B696" s="2" t="str">
        <f t="shared" si="28"/>
        <v>SG</v>
      </c>
      <c r="C696" s="4" t="s">
        <v>447</v>
      </c>
      <c r="D696" s="4" t="s">
        <v>0</v>
      </c>
      <c r="E696" s="4" t="s">
        <v>12</v>
      </c>
      <c r="F696" s="2" t="s">
        <v>0</v>
      </c>
      <c r="G696" s="2" t="str">
        <f>"04"</f>
        <v>04</v>
      </c>
      <c r="H696" s="3">
        <v>785</v>
      </c>
    </row>
    <row r="697" spans="1:8" ht="29.25" x14ac:dyDescent="0.25">
      <c r="A697" s="2" t="str">
        <f>"00026130"</f>
        <v>00026130</v>
      </c>
      <c r="B697" s="2" t="str">
        <f t="shared" si="28"/>
        <v>SG</v>
      </c>
      <c r="C697" s="4" t="s">
        <v>376</v>
      </c>
      <c r="D697" s="4" t="s">
        <v>0</v>
      </c>
      <c r="E697" s="4" t="s">
        <v>12</v>
      </c>
      <c r="F697" s="2" t="s">
        <v>0</v>
      </c>
      <c r="G697" s="2" t="str">
        <f>"01"</f>
        <v>01</v>
      </c>
      <c r="H697" s="3">
        <v>413</v>
      </c>
    </row>
    <row r="698" spans="1:8" ht="29.25" x14ac:dyDescent="0.25">
      <c r="A698" s="2" t="str">
        <f>"00026135"</f>
        <v>00026135</v>
      </c>
      <c r="B698" s="2" t="str">
        <f t="shared" si="28"/>
        <v>SG</v>
      </c>
      <c r="C698" s="4" t="s">
        <v>460</v>
      </c>
      <c r="D698" s="4" t="s">
        <v>0</v>
      </c>
      <c r="E698" s="4" t="s">
        <v>12</v>
      </c>
      <c r="F698" s="2" t="s">
        <v>0</v>
      </c>
      <c r="G698" s="2" t="str">
        <f>"03"</f>
        <v>03</v>
      </c>
      <c r="H698" s="3">
        <v>637</v>
      </c>
    </row>
    <row r="699" spans="1:8" ht="29.25" x14ac:dyDescent="0.25">
      <c r="A699" s="2" t="str">
        <f>"00026140"</f>
        <v>00026140</v>
      </c>
      <c r="B699" s="2" t="str">
        <f t="shared" si="28"/>
        <v>SG</v>
      </c>
      <c r="C699" s="4" t="s">
        <v>460</v>
      </c>
      <c r="D699" s="4" t="s">
        <v>0</v>
      </c>
      <c r="E699" s="4" t="s">
        <v>12</v>
      </c>
      <c r="F699" s="2" t="s">
        <v>0</v>
      </c>
      <c r="G699" s="2" t="str">
        <f t="shared" ref="G699:G705" si="31">"01"</f>
        <v>01</v>
      </c>
      <c r="H699" s="3">
        <v>413</v>
      </c>
    </row>
    <row r="700" spans="1:8" ht="29.25" x14ac:dyDescent="0.25">
      <c r="A700" s="2" t="str">
        <f>"00026145"</f>
        <v>00026145</v>
      </c>
      <c r="B700" s="2" t="str">
        <f t="shared" si="28"/>
        <v>SG</v>
      </c>
      <c r="C700" s="4" t="s">
        <v>461</v>
      </c>
      <c r="D700" s="4" t="s">
        <v>0</v>
      </c>
      <c r="E700" s="4" t="s">
        <v>12</v>
      </c>
      <c r="F700" s="2" t="s">
        <v>0</v>
      </c>
      <c r="G700" s="2" t="str">
        <f t="shared" si="31"/>
        <v>01</v>
      </c>
      <c r="H700" s="3">
        <v>413</v>
      </c>
    </row>
    <row r="701" spans="1:8" ht="29.25" x14ac:dyDescent="0.25">
      <c r="A701" s="2" t="str">
        <f>"00026160"</f>
        <v>00026160</v>
      </c>
      <c r="B701" s="2" t="str">
        <f t="shared" si="28"/>
        <v>SG</v>
      </c>
      <c r="C701" s="4" t="s">
        <v>462</v>
      </c>
      <c r="D701" s="4" t="s">
        <v>0</v>
      </c>
      <c r="E701" s="4" t="s">
        <v>12</v>
      </c>
      <c r="F701" s="2" t="s">
        <v>0</v>
      </c>
      <c r="G701" s="2" t="str">
        <f t="shared" si="31"/>
        <v>01</v>
      </c>
      <c r="H701" s="3">
        <v>413</v>
      </c>
    </row>
    <row r="702" spans="1:8" ht="29.25" x14ac:dyDescent="0.25">
      <c r="A702" s="2" t="str">
        <f>"00026170"</f>
        <v>00026170</v>
      </c>
      <c r="B702" s="2" t="str">
        <f t="shared" si="28"/>
        <v>SG</v>
      </c>
      <c r="C702" s="4" t="s">
        <v>463</v>
      </c>
      <c r="D702" s="4" t="s">
        <v>0</v>
      </c>
      <c r="E702" s="4" t="s">
        <v>12</v>
      </c>
      <c r="F702" s="2" t="s">
        <v>0</v>
      </c>
      <c r="G702" s="2" t="str">
        <f t="shared" si="31"/>
        <v>01</v>
      </c>
      <c r="H702" s="3">
        <v>413</v>
      </c>
    </row>
    <row r="703" spans="1:8" ht="29.25" x14ac:dyDescent="0.25">
      <c r="A703" s="2" t="str">
        <f>"00026180"</f>
        <v>00026180</v>
      </c>
      <c r="B703" s="2" t="str">
        <f t="shared" si="28"/>
        <v>SG</v>
      </c>
      <c r="C703" s="4" t="s">
        <v>464</v>
      </c>
      <c r="D703" s="4" t="s">
        <v>0</v>
      </c>
      <c r="E703" s="4" t="s">
        <v>12</v>
      </c>
      <c r="F703" s="2" t="s">
        <v>0</v>
      </c>
      <c r="G703" s="2" t="str">
        <f t="shared" si="31"/>
        <v>01</v>
      </c>
      <c r="H703" s="3">
        <v>413</v>
      </c>
    </row>
    <row r="704" spans="1:8" x14ac:dyDescent="0.25">
      <c r="A704" s="2" t="str">
        <f>"00026185"</f>
        <v>00026185</v>
      </c>
      <c r="B704" s="2" t="str">
        <f t="shared" si="28"/>
        <v>SG</v>
      </c>
      <c r="C704" s="4" t="s">
        <v>465</v>
      </c>
      <c r="D704" s="4" t="s">
        <v>0</v>
      </c>
      <c r="E704" s="4" t="s">
        <v>12</v>
      </c>
      <c r="F704" s="2" t="s">
        <v>0</v>
      </c>
      <c r="G704" s="2" t="str">
        <f t="shared" si="31"/>
        <v>01</v>
      </c>
      <c r="H704" s="3">
        <v>413</v>
      </c>
    </row>
    <row r="705" spans="1:8" ht="29.25" x14ac:dyDescent="0.25">
      <c r="A705" s="2" t="str">
        <f>"00026200"</f>
        <v>00026200</v>
      </c>
      <c r="B705" s="2" t="str">
        <f t="shared" si="28"/>
        <v>SG</v>
      </c>
      <c r="C705" s="4" t="s">
        <v>466</v>
      </c>
      <c r="D705" s="4" t="s">
        <v>0</v>
      </c>
      <c r="E705" s="4" t="s">
        <v>12</v>
      </c>
      <c r="F705" s="2" t="s">
        <v>0</v>
      </c>
      <c r="G705" s="2" t="str">
        <f t="shared" si="31"/>
        <v>01</v>
      </c>
      <c r="H705" s="3">
        <v>413</v>
      </c>
    </row>
    <row r="706" spans="1:8" ht="29.25" x14ac:dyDescent="0.25">
      <c r="A706" s="2" t="str">
        <f>"00026205"</f>
        <v>00026205</v>
      </c>
      <c r="B706" s="2" t="str">
        <f t="shared" si="28"/>
        <v>SG</v>
      </c>
      <c r="C706" s="4" t="s">
        <v>318</v>
      </c>
      <c r="D706" s="4" t="s">
        <v>0</v>
      </c>
      <c r="E706" s="4" t="s">
        <v>12</v>
      </c>
      <c r="F706" s="2" t="s">
        <v>0</v>
      </c>
      <c r="G706" s="2" t="str">
        <f>"03"</f>
        <v>03</v>
      </c>
      <c r="H706" s="3">
        <v>637</v>
      </c>
    </row>
    <row r="707" spans="1:8" ht="29.25" x14ac:dyDescent="0.25">
      <c r="A707" s="2" t="str">
        <f>"00026210"</f>
        <v>00026210</v>
      </c>
      <c r="B707" s="2" t="str">
        <f t="shared" si="28"/>
        <v>SG</v>
      </c>
      <c r="C707" s="4" t="s">
        <v>467</v>
      </c>
      <c r="D707" s="4" t="s">
        <v>0</v>
      </c>
      <c r="E707" s="4" t="s">
        <v>12</v>
      </c>
      <c r="F707" s="2" t="s">
        <v>0</v>
      </c>
      <c r="G707" s="2" t="str">
        <f t="shared" ref="G707:G715" si="32">"01"</f>
        <v>01</v>
      </c>
      <c r="H707" s="3">
        <v>413</v>
      </c>
    </row>
    <row r="708" spans="1:8" ht="29.25" x14ac:dyDescent="0.25">
      <c r="A708" s="2" t="str">
        <f>"00026215"</f>
        <v>00026215</v>
      </c>
      <c r="B708" s="2" t="str">
        <f t="shared" si="28"/>
        <v>SG</v>
      </c>
      <c r="C708" s="4" t="s">
        <v>468</v>
      </c>
      <c r="D708" s="4" t="s">
        <v>0</v>
      </c>
      <c r="E708" s="4" t="s">
        <v>12</v>
      </c>
      <c r="F708" s="2" t="s">
        <v>0</v>
      </c>
      <c r="G708" s="2" t="str">
        <f t="shared" si="32"/>
        <v>01</v>
      </c>
      <c r="H708" s="3">
        <v>413</v>
      </c>
    </row>
    <row r="709" spans="1:8" ht="29.25" x14ac:dyDescent="0.25">
      <c r="A709" s="2" t="str">
        <f>"00026230"</f>
        <v>00026230</v>
      </c>
      <c r="B709" s="2" t="str">
        <f t="shared" si="28"/>
        <v>SG</v>
      </c>
      <c r="C709" s="4" t="s">
        <v>469</v>
      </c>
      <c r="D709" s="4" t="s">
        <v>0</v>
      </c>
      <c r="E709" s="4" t="s">
        <v>12</v>
      </c>
      <c r="F709" s="2" t="s">
        <v>0</v>
      </c>
      <c r="G709" s="2" t="str">
        <f t="shared" si="32"/>
        <v>01</v>
      </c>
      <c r="H709" s="3">
        <v>413</v>
      </c>
    </row>
    <row r="710" spans="1:8" ht="29.25" x14ac:dyDescent="0.25">
      <c r="A710" s="2" t="str">
        <f>"00026235"</f>
        <v>00026235</v>
      </c>
      <c r="B710" s="2" t="str">
        <f t="shared" si="28"/>
        <v>SG</v>
      </c>
      <c r="C710" s="4" t="s">
        <v>470</v>
      </c>
      <c r="D710" s="4" t="s">
        <v>0</v>
      </c>
      <c r="E710" s="4" t="s">
        <v>12</v>
      </c>
      <c r="F710" s="2" t="s">
        <v>0</v>
      </c>
      <c r="G710" s="2" t="str">
        <f t="shared" si="32"/>
        <v>01</v>
      </c>
      <c r="H710" s="3">
        <v>413</v>
      </c>
    </row>
    <row r="711" spans="1:8" ht="29.25" x14ac:dyDescent="0.25">
      <c r="A711" s="2" t="str">
        <f>"00026236"</f>
        <v>00026236</v>
      </c>
      <c r="B711" s="2" t="str">
        <f t="shared" si="28"/>
        <v>SG</v>
      </c>
      <c r="C711" s="4" t="s">
        <v>470</v>
      </c>
      <c r="D711" s="4" t="s">
        <v>0</v>
      </c>
      <c r="E711" s="4" t="s">
        <v>12</v>
      </c>
      <c r="F711" s="2" t="s">
        <v>0</v>
      </c>
      <c r="G711" s="2" t="str">
        <f t="shared" si="32"/>
        <v>01</v>
      </c>
      <c r="H711" s="3">
        <v>413</v>
      </c>
    </row>
    <row r="712" spans="1:8" x14ac:dyDescent="0.25">
      <c r="A712" s="2" t="str">
        <f>"00026250"</f>
        <v>00026250</v>
      </c>
      <c r="B712" s="2" t="str">
        <f t="shared" si="28"/>
        <v>SG</v>
      </c>
      <c r="C712" s="4" t="s">
        <v>471</v>
      </c>
      <c r="D712" s="4" t="s">
        <v>0</v>
      </c>
      <c r="E712" s="4" t="s">
        <v>12</v>
      </c>
      <c r="F712" s="2" t="s">
        <v>0</v>
      </c>
      <c r="G712" s="2" t="str">
        <f t="shared" si="32"/>
        <v>01</v>
      </c>
      <c r="H712" s="3">
        <v>413</v>
      </c>
    </row>
    <row r="713" spans="1:8" ht="29.25" x14ac:dyDescent="0.25">
      <c r="A713" s="2" t="str">
        <f>"00026260"</f>
        <v>00026260</v>
      </c>
      <c r="B713" s="2" t="str">
        <f t="shared" si="28"/>
        <v>SG</v>
      </c>
      <c r="C713" s="4" t="s">
        <v>472</v>
      </c>
      <c r="D713" s="4" t="s">
        <v>0</v>
      </c>
      <c r="E713" s="4" t="s">
        <v>12</v>
      </c>
      <c r="F713" s="2" t="s">
        <v>0</v>
      </c>
      <c r="G713" s="2" t="str">
        <f t="shared" si="32"/>
        <v>01</v>
      </c>
      <c r="H713" s="3">
        <v>413</v>
      </c>
    </row>
    <row r="714" spans="1:8" ht="29.25" x14ac:dyDescent="0.25">
      <c r="A714" s="2" t="str">
        <f>"00026262"</f>
        <v>00026262</v>
      </c>
      <c r="B714" s="2" t="str">
        <f t="shared" si="28"/>
        <v>SG</v>
      </c>
      <c r="C714" s="4" t="s">
        <v>473</v>
      </c>
      <c r="D714" s="4" t="s">
        <v>0</v>
      </c>
      <c r="E714" s="4" t="s">
        <v>12</v>
      </c>
      <c r="F714" s="2" t="s">
        <v>0</v>
      </c>
      <c r="G714" s="2" t="str">
        <f t="shared" si="32"/>
        <v>01</v>
      </c>
      <c r="H714" s="3">
        <v>413</v>
      </c>
    </row>
    <row r="715" spans="1:8" ht="29.25" x14ac:dyDescent="0.25">
      <c r="A715" s="2" t="str">
        <f>"00026320"</f>
        <v>00026320</v>
      </c>
      <c r="B715" s="2" t="str">
        <f t="shared" si="28"/>
        <v>SG</v>
      </c>
      <c r="C715" s="4" t="s">
        <v>474</v>
      </c>
      <c r="D715" s="4" t="s">
        <v>0</v>
      </c>
      <c r="E715" s="4" t="s">
        <v>12</v>
      </c>
      <c r="F715" s="2" t="s">
        <v>0</v>
      </c>
      <c r="G715" s="2" t="str">
        <f t="shared" si="32"/>
        <v>01</v>
      </c>
      <c r="H715" s="3">
        <v>413</v>
      </c>
    </row>
    <row r="716" spans="1:8" ht="29.25" x14ac:dyDescent="0.25">
      <c r="A716" s="2" t="str">
        <f>"00026350"</f>
        <v>00026350</v>
      </c>
      <c r="B716" s="2" t="str">
        <f t="shared" si="28"/>
        <v>SG</v>
      </c>
      <c r="C716" s="4" t="s">
        <v>475</v>
      </c>
      <c r="D716" s="4" t="s">
        <v>0</v>
      </c>
      <c r="E716" s="4" t="s">
        <v>12</v>
      </c>
      <c r="F716" s="2" t="s">
        <v>0</v>
      </c>
      <c r="G716" s="2" t="str">
        <f t="shared" ref="G716:G725" si="33">"03"</f>
        <v>03</v>
      </c>
      <c r="H716" s="3">
        <v>637</v>
      </c>
    </row>
    <row r="717" spans="1:8" ht="29.25" x14ac:dyDescent="0.25">
      <c r="A717" s="2" t="str">
        <f>"00026352"</f>
        <v>00026352</v>
      </c>
      <c r="B717" s="2" t="str">
        <f t="shared" ref="B717:B780" si="34">"SG"</f>
        <v>SG</v>
      </c>
      <c r="C717" s="4" t="s">
        <v>476</v>
      </c>
      <c r="D717" s="4" t="s">
        <v>0</v>
      </c>
      <c r="E717" s="4" t="s">
        <v>12</v>
      </c>
      <c r="F717" s="2" t="s">
        <v>0</v>
      </c>
      <c r="G717" s="2" t="str">
        <f t="shared" si="33"/>
        <v>03</v>
      </c>
      <c r="H717" s="3">
        <v>637</v>
      </c>
    </row>
    <row r="718" spans="1:8" ht="29.25" x14ac:dyDescent="0.25">
      <c r="A718" s="2" t="str">
        <f>"00026356"</f>
        <v>00026356</v>
      </c>
      <c r="B718" s="2" t="str">
        <f t="shared" si="34"/>
        <v>SG</v>
      </c>
      <c r="C718" s="4" t="s">
        <v>475</v>
      </c>
      <c r="D718" s="4" t="s">
        <v>0</v>
      </c>
      <c r="E718" s="4" t="s">
        <v>12</v>
      </c>
      <c r="F718" s="2" t="s">
        <v>0</v>
      </c>
      <c r="G718" s="2" t="str">
        <f t="shared" si="33"/>
        <v>03</v>
      </c>
      <c r="H718" s="3">
        <v>637</v>
      </c>
    </row>
    <row r="719" spans="1:8" ht="29.25" x14ac:dyDescent="0.25">
      <c r="A719" s="2" t="str">
        <f>"00026357"</f>
        <v>00026357</v>
      </c>
      <c r="B719" s="2" t="str">
        <f t="shared" si="34"/>
        <v>SG</v>
      </c>
      <c r="C719" s="4" t="s">
        <v>475</v>
      </c>
      <c r="D719" s="4" t="s">
        <v>0</v>
      </c>
      <c r="E719" s="4" t="s">
        <v>12</v>
      </c>
      <c r="F719" s="2" t="s">
        <v>0</v>
      </c>
      <c r="G719" s="2" t="str">
        <f t="shared" si="33"/>
        <v>03</v>
      </c>
      <c r="H719" s="3">
        <v>637</v>
      </c>
    </row>
    <row r="720" spans="1:8" ht="29.25" x14ac:dyDescent="0.25">
      <c r="A720" s="2" t="str">
        <f>"00026358"</f>
        <v>00026358</v>
      </c>
      <c r="B720" s="2" t="str">
        <f t="shared" si="34"/>
        <v>SG</v>
      </c>
      <c r="C720" s="4" t="s">
        <v>476</v>
      </c>
      <c r="D720" s="4" t="s">
        <v>0</v>
      </c>
      <c r="E720" s="4" t="s">
        <v>12</v>
      </c>
      <c r="F720" s="2" t="s">
        <v>0</v>
      </c>
      <c r="G720" s="2" t="str">
        <f t="shared" si="33"/>
        <v>03</v>
      </c>
      <c r="H720" s="3">
        <v>637</v>
      </c>
    </row>
    <row r="721" spans="1:8" ht="29.25" x14ac:dyDescent="0.25">
      <c r="A721" s="2" t="str">
        <f>"00026370"</f>
        <v>00026370</v>
      </c>
      <c r="B721" s="2" t="str">
        <f t="shared" si="34"/>
        <v>SG</v>
      </c>
      <c r="C721" s="4" t="s">
        <v>475</v>
      </c>
      <c r="D721" s="4" t="s">
        <v>0</v>
      </c>
      <c r="E721" s="4" t="s">
        <v>12</v>
      </c>
      <c r="F721" s="2" t="s">
        <v>0</v>
      </c>
      <c r="G721" s="2" t="str">
        <f t="shared" si="33"/>
        <v>03</v>
      </c>
      <c r="H721" s="3">
        <v>637</v>
      </c>
    </row>
    <row r="722" spans="1:8" ht="29.25" x14ac:dyDescent="0.25">
      <c r="A722" s="2" t="str">
        <f>"00026372"</f>
        <v>00026372</v>
      </c>
      <c r="B722" s="2" t="str">
        <f t="shared" si="34"/>
        <v>SG</v>
      </c>
      <c r="C722" s="4" t="s">
        <v>476</v>
      </c>
      <c r="D722" s="4" t="s">
        <v>0</v>
      </c>
      <c r="E722" s="4" t="s">
        <v>12</v>
      </c>
      <c r="F722" s="2" t="s">
        <v>0</v>
      </c>
      <c r="G722" s="2" t="str">
        <f t="shared" si="33"/>
        <v>03</v>
      </c>
      <c r="H722" s="3">
        <v>637</v>
      </c>
    </row>
    <row r="723" spans="1:8" ht="29.25" x14ac:dyDescent="0.25">
      <c r="A723" s="2" t="str">
        <f>"00026373"</f>
        <v>00026373</v>
      </c>
      <c r="B723" s="2" t="str">
        <f t="shared" si="34"/>
        <v>SG</v>
      </c>
      <c r="C723" s="4" t="s">
        <v>475</v>
      </c>
      <c r="D723" s="4" t="s">
        <v>0</v>
      </c>
      <c r="E723" s="4" t="s">
        <v>12</v>
      </c>
      <c r="F723" s="2" t="s">
        <v>0</v>
      </c>
      <c r="G723" s="2" t="str">
        <f t="shared" si="33"/>
        <v>03</v>
      </c>
      <c r="H723" s="3">
        <v>637</v>
      </c>
    </row>
    <row r="724" spans="1:8" ht="29.25" x14ac:dyDescent="0.25">
      <c r="A724" s="2" t="str">
        <f>"00026390"</f>
        <v>00026390</v>
      </c>
      <c r="B724" s="2" t="str">
        <f t="shared" si="34"/>
        <v>SG</v>
      </c>
      <c r="C724" s="4" t="s">
        <v>477</v>
      </c>
      <c r="D724" s="4" t="s">
        <v>0</v>
      </c>
      <c r="E724" s="4" t="s">
        <v>12</v>
      </c>
      <c r="F724" s="2" t="s">
        <v>0</v>
      </c>
      <c r="G724" s="2" t="str">
        <f t="shared" si="33"/>
        <v>03</v>
      </c>
      <c r="H724" s="3">
        <v>637</v>
      </c>
    </row>
    <row r="725" spans="1:8" ht="29.25" x14ac:dyDescent="0.25">
      <c r="A725" s="2" t="str">
        <f>"00026392"</f>
        <v>00026392</v>
      </c>
      <c r="B725" s="2" t="str">
        <f t="shared" si="34"/>
        <v>SG</v>
      </c>
      <c r="C725" s="4" t="s">
        <v>476</v>
      </c>
      <c r="D725" s="4" t="s">
        <v>0</v>
      </c>
      <c r="E725" s="4" t="s">
        <v>12</v>
      </c>
      <c r="F725" s="2" t="s">
        <v>0</v>
      </c>
      <c r="G725" s="2" t="str">
        <f t="shared" si="33"/>
        <v>03</v>
      </c>
      <c r="H725" s="3">
        <v>637</v>
      </c>
    </row>
    <row r="726" spans="1:8" x14ac:dyDescent="0.25">
      <c r="A726" s="2" t="str">
        <f>"00026410"</f>
        <v>00026410</v>
      </c>
      <c r="B726" s="2" t="str">
        <f t="shared" si="34"/>
        <v>SG</v>
      </c>
      <c r="C726" s="4" t="s">
        <v>478</v>
      </c>
      <c r="D726" s="4" t="s">
        <v>0</v>
      </c>
      <c r="E726" s="4" t="s">
        <v>12</v>
      </c>
      <c r="F726" s="2" t="s">
        <v>0</v>
      </c>
      <c r="G726" s="2" t="str">
        <f>"01"</f>
        <v>01</v>
      </c>
      <c r="H726" s="3">
        <v>413</v>
      </c>
    </row>
    <row r="727" spans="1:8" ht="29.25" x14ac:dyDescent="0.25">
      <c r="A727" s="2" t="str">
        <f>"00026412"</f>
        <v>00026412</v>
      </c>
      <c r="B727" s="2" t="str">
        <f t="shared" si="34"/>
        <v>SG</v>
      </c>
      <c r="C727" s="4" t="s">
        <v>476</v>
      </c>
      <c r="D727" s="4" t="s">
        <v>0</v>
      </c>
      <c r="E727" s="4" t="s">
        <v>12</v>
      </c>
      <c r="F727" s="2" t="s">
        <v>0</v>
      </c>
      <c r="G727" s="2" t="str">
        <f>"03"</f>
        <v>03</v>
      </c>
      <c r="H727" s="3">
        <v>637</v>
      </c>
    </row>
    <row r="728" spans="1:8" ht="29.25" x14ac:dyDescent="0.25">
      <c r="A728" s="2" t="str">
        <f>"00026415"</f>
        <v>00026415</v>
      </c>
      <c r="B728" s="2" t="str">
        <f t="shared" si="34"/>
        <v>SG</v>
      </c>
      <c r="C728" s="4" t="s">
        <v>479</v>
      </c>
      <c r="D728" s="4" t="s">
        <v>0</v>
      </c>
      <c r="E728" s="4" t="s">
        <v>12</v>
      </c>
      <c r="F728" s="2" t="s">
        <v>0</v>
      </c>
      <c r="G728" s="2" t="str">
        <f>"03"</f>
        <v>03</v>
      </c>
      <c r="H728" s="3">
        <v>637</v>
      </c>
    </row>
    <row r="729" spans="1:8" ht="29.25" x14ac:dyDescent="0.25">
      <c r="A729" s="2" t="str">
        <f>"00026416"</f>
        <v>00026416</v>
      </c>
      <c r="B729" s="2" t="str">
        <f t="shared" si="34"/>
        <v>SG</v>
      </c>
      <c r="C729" s="4" t="s">
        <v>480</v>
      </c>
      <c r="D729" s="4" t="s">
        <v>0</v>
      </c>
      <c r="E729" s="4" t="s">
        <v>12</v>
      </c>
      <c r="F729" s="2" t="s">
        <v>0</v>
      </c>
      <c r="G729" s="2" t="str">
        <f>"03"</f>
        <v>03</v>
      </c>
      <c r="H729" s="3">
        <v>637</v>
      </c>
    </row>
    <row r="730" spans="1:8" x14ac:dyDescent="0.25">
      <c r="A730" s="2" t="str">
        <f>"00026418"</f>
        <v>00026418</v>
      </c>
      <c r="B730" s="2" t="str">
        <f t="shared" si="34"/>
        <v>SG</v>
      </c>
      <c r="C730" s="4" t="s">
        <v>481</v>
      </c>
      <c r="D730" s="4" t="s">
        <v>0</v>
      </c>
      <c r="E730" s="4" t="s">
        <v>12</v>
      </c>
      <c r="F730" s="2" t="s">
        <v>0</v>
      </c>
      <c r="G730" s="2" t="str">
        <f>"01"</f>
        <v>01</v>
      </c>
      <c r="H730" s="3">
        <v>413</v>
      </c>
    </row>
    <row r="731" spans="1:8" ht="29.25" x14ac:dyDescent="0.25">
      <c r="A731" s="2" t="str">
        <f>"00026420"</f>
        <v>00026420</v>
      </c>
      <c r="B731" s="2" t="str">
        <f t="shared" si="34"/>
        <v>SG</v>
      </c>
      <c r="C731" s="4" t="s">
        <v>482</v>
      </c>
      <c r="D731" s="4" t="s">
        <v>0</v>
      </c>
      <c r="E731" s="4" t="s">
        <v>12</v>
      </c>
      <c r="F731" s="2" t="s">
        <v>0</v>
      </c>
      <c r="G731" s="2" t="str">
        <f>"03"</f>
        <v>03</v>
      </c>
      <c r="H731" s="3">
        <v>637</v>
      </c>
    </row>
    <row r="732" spans="1:8" ht="29.25" x14ac:dyDescent="0.25">
      <c r="A732" s="2" t="str">
        <f>"00026426"</f>
        <v>00026426</v>
      </c>
      <c r="B732" s="2" t="str">
        <f t="shared" si="34"/>
        <v>SG</v>
      </c>
      <c r="C732" s="4" t="s">
        <v>475</v>
      </c>
      <c r="D732" s="4" t="s">
        <v>0</v>
      </c>
      <c r="E732" s="4" t="s">
        <v>12</v>
      </c>
      <c r="F732" s="2" t="s">
        <v>0</v>
      </c>
      <c r="G732" s="2" t="str">
        <f>"03"</f>
        <v>03</v>
      </c>
      <c r="H732" s="3">
        <v>637</v>
      </c>
    </row>
    <row r="733" spans="1:8" ht="29.25" x14ac:dyDescent="0.25">
      <c r="A733" s="2" t="str">
        <f>"00026428"</f>
        <v>00026428</v>
      </c>
      <c r="B733" s="2" t="str">
        <f t="shared" si="34"/>
        <v>SG</v>
      </c>
      <c r="C733" s="4" t="s">
        <v>482</v>
      </c>
      <c r="D733" s="4" t="s">
        <v>0</v>
      </c>
      <c r="E733" s="4" t="s">
        <v>12</v>
      </c>
      <c r="F733" s="2" t="s">
        <v>0</v>
      </c>
      <c r="G733" s="2" t="str">
        <f>"03"</f>
        <v>03</v>
      </c>
      <c r="H733" s="3">
        <v>637</v>
      </c>
    </row>
    <row r="734" spans="1:8" x14ac:dyDescent="0.25">
      <c r="A734" s="2" t="str">
        <f>"00026432"</f>
        <v>00026432</v>
      </c>
      <c r="B734" s="2" t="str">
        <f t="shared" si="34"/>
        <v>SG</v>
      </c>
      <c r="C734" s="4" t="s">
        <v>481</v>
      </c>
      <c r="D734" s="4" t="s">
        <v>0</v>
      </c>
      <c r="E734" s="4" t="s">
        <v>12</v>
      </c>
      <c r="F734" s="2" t="s">
        <v>0</v>
      </c>
      <c r="G734" s="2" t="str">
        <f>"01"</f>
        <v>01</v>
      </c>
      <c r="H734" s="3">
        <v>413</v>
      </c>
    </row>
    <row r="735" spans="1:8" x14ac:dyDescent="0.25">
      <c r="A735" s="2" t="str">
        <f>"00026433"</f>
        <v>00026433</v>
      </c>
      <c r="B735" s="2" t="str">
        <f t="shared" si="34"/>
        <v>SG</v>
      </c>
      <c r="C735" s="4" t="s">
        <v>481</v>
      </c>
      <c r="D735" s="4" t="s">
        <v>0</v>
      </c>
      <c r="E735" s="4" t="s">
        <v>12</v>
      </c>
      <c r="F735" s="2" t="s">
        <v>0</v>
      </c>
      <c r="G735" s="2" t="str">
        <f>"01"</f>
        <v>01</v>
      </c>
      <c r="H735" s="3">
        <v>413</v>
      </c>
    </row>
    <row r="736" spans="1:8" ht="29.25" x14ac:dyDescent="0.25">
      <c r="A736" s="2" t="str">
        <f>"00026434"</f>
        <v>00026434</v>
      </c>
      <c r="B736" s="2" t="str">
        <f t="shared" si="34"/>
        <v>SG</v>
      </c>
      <c r="C736" s="4" t="s">
        <v>482</v>
      </c>
      <c r="D736" s="4" t="s">
        <v>0</v>
      </c>
      <c r="E736" s="4" t="s">
        <v>12</v>
      </c>
      <c r="F736" s="2" t="s">
        <v>0</v>
      </c>
      <c r="G736" s="2" t="str">
        <f>"03"</f>
        <v>03</v>
      </c>
      <c r="H736" s="3">
        <v>637</v>
      </c>
    </row>
    <row r="737" spans="1:8" x14ac:dyDescent="0.25">
      <c r="A737" s="2" t="str">
        <f>"00026437"</f>
        <v>00026437</v>
      </c>
      <c r="B737" s="2" t="str">
        <f t="shared" si="34"/>
        <v>SG</v>
      </c>
      <c r="C737" s="4" t="s">
        <v>483</v>
      </c>
      <c r="D737" s="4" t="s">
        <v>0</v>
      </c>
      <c r="E737" s="4" t="s">
        <v>12</v>
      </c>
      <c r="F737" s="2" t="s">
        <v>0</v>
      </c>
      <c r="G737" s="2" t="str">
        <f>"01"</f>
        <v>01</v>
      </c>
      <c r="H737" s="3">
        <v>413</v>
      </c>
    </row>
    <row r="738" spans="1:8" ht="29.25" x14ac:dyDescent="0.25">
      <c r="A738" s="2" t="str">
        <f>"00026440"</f>
        <v>00026440</v>
      </c>
      <c r="B738" s="2" t="str">
        <f t="shared" si="34"/>
        <v>SG</v>
      </c>
      <c r="C738" s="4" t="s">
        <v>484</v>
      </c>
      <c r="D738" s="4" t="s">
        <v>0</v>
      </c>
      <c r="E738" s="4" t="s">
        <v>12</v>
      </c>
      <c r="F738" s="2" t="s">
        <v>0</v>
      </c>
      <c r="G738" s="2" t="str">
        <f>"01"</f>
        <v>01</v>
      </c>
      <c r="H738" s="3">
        <v>413</v>
      </c>
    </row>
    <row r="739" spans="1:8" ht="29.25" x14ac:dyDescent="0.25">
      <c r="A739" s="2" t="str">
        <f>"00026442"</f>
        <v>00026442</v>
      </c>
      <c r="B739" s="2" t="str">
        <f t="shared" si="34"/>
        <v>SG</v>
      </c>
      <c r="C739" s="4" t="s">
        <v>485</v>
      </c>
      <c r="D739" s="4" t="s">
        <v>0</v>
      </c>
      <c r="E739" s="4" t="s">
        <v>12</v>
      </c>
      <c r="F739" s="2" t="s">
        <v>0</v>
      </c>
      <c r="G739" s="2" t="str">
        <f>"03"</f>
        <v>03</v>
      </c>
      <c r="H739" s="3">
        <v>637</v>
      </c>
    </row>
    <row r="740" spans="1:8" ht="29.25" x14ac:dyDescent="0.25">
      <c r="A740" s="2" t="str">
        <f>"00026445"</f>
        <v>00026445</v>
      </c>
      <c r="B740" s="2" t="str">
        <f t="shared" si="34"/>
        <v>SG</v>
      </c>
      <c r="C740" s="4" t="s">
        <v>486</v>
      </c>
      <c r="D740" s="4" t="s">
        <v>0</v>
      </c>
      <c r="E740" s="4" t="s">
        <v>12</v>
      </c>
      <c r="F740" s="2" t="s">
        <v>0</v>
      </c>
      <c r="G740" s="2" t="str">
        <f>"01"</f>
        <v>01</v>
      </c>
      <c r="H740" s="3">
        <v>413</v>
      </c>
    </row>
    <row r="741" spans="1:8" ht="29.25" x14ac:dyDescent="0.25">
      <c r="A741" s="2" t="str">
        <f>"00026449"</f>
        <v>00026449</v>
      </c>
      <c r="B741" s="2" t="str">
        <f t="shared" si="34"/>
        <v>SG</v>
      </c>
      <c r="C741" s="4" t="s">
        <v>487</v>
      </c>
      <c r="D741" s="4" t="s">
        <v>0</v>
      </c>
      <c r="E741" s="4" t="s">
        <v>12</v>
      </c>
      <c r="F741" s="2" t="s">
        <v>0</v>
      </c>
      <c r="G741" s="2" t="str">
        <f>"03"</f>
        <v>03</v>
      </c>
      <c r="H741" s="3">
        <v>637</v>
      </c>
    </row>
    <row r="742" spans="1:8" x14ac:dyDescent="0.25">
      <c r="A742" s="2" t="str">
        <f>"00026450"</f>
        <v>00026450</v>
      </c>
      <c r="B742" s="2" t="str">
        <f t="shared" si="34"/>
        <v>SG</v>
      </c>
      <c r="C742" s="4" t="s">
        <v>488</v>
      </c>
      <c r="D742" s="4" t="s">
        <v>0</v>
      </c>
      <c r="E742" s="4" t="s">
        <v>12</v>
      </c>
      <c r="F742" s="2" t="s">
        <v>0</v>
      </c>
      <c r="G742" s="2" t="str">
        <f>"01"</f>
        <v>01</v>
      </c>
      <c r="H742" s="3">
        <v>413</v>
      </c>
    </row>
    <row r="743" spans="1:8" ht="29.25" x14ac:dyDescent="0.25">
      <c r="A743" s="2" t="str">
        <f>"00026455"</f>
        <v>00026455</v>
      </c>
      <c r="B743" s="2" t="str">
        <f t="shared" si="34"/>
        <v>SG</v>
      </c>
      <c r="C743" s="4" t="s">
        <v>449</v>
      </c>
      <c r="D743" s="4" t="s">
        <v>0</v>
      </c>
      <c r="E743" s="4" t="s">
        <v>12</v>
      </c>
      <c r="F743" s="2" t="s">
        <v>0</v>
      </c>
      <c r="G743" s="2" t="str">
        <f t="shared" ref="G743:G761" si="35">"03"</f>
        <v>03</v>
      </c>
      <c r="H743" s="3">
        <v>637</v>
      </c>
    </row>
    <row r="744" spans="1:8" ht="29.25" x14ac:dyDescent="0.25">
      <c r="A744" s="2" t="str">
        <f>"00026460"</f>
        <v>00026460</v>
      </c>
      <c r="B744" s="2" t="str">
        <f t="shared" si="34"/>
        <v>SG</v>
      </c>
      <c r="C744" s="4" t="s">
        <v>489</v>
      </c>
      <c r="D744" s="4" t="s">
        <v>0</v>
      </c>
      <c r="E744" s="4" t="s">
        <v>12</v>
      </c>
      <c r="F744" s="2" t="s">
        <v>0</v>
      </c>
      <c r="G744" s="2" t="str">
        <f t="shared" si="35"/>
        <v>03</v>
      </c>
      <c r="H744" s="3">
        <v>637</v>
      </c>
    </row>
    <row r="745" spans="1:8" ht="29.25" x14ac:dyDescent="0.25">
      <c r="A745" s="2" t="str">
        <f>"00026471"</f>
        <v>00026471</v>
      </c>
      <c r="B745" s="2" t="str">
        <f t="shared" si="34"/>
        <v>SG</v>
      </c>
      <c r="C745" s="4" t="s">
        <v>490</v>
      </c>
      <c r="D745" s="4" t="s">
        <v>0</v>
      </c>
      <c r="E745" s="4" t="s">
        <v>12</v>
      </c>
      <c r="F745" s="2" t="s">
        <v>0</v>
      </c>
      <c r="G745" s="2" t="str">
        <f t="shared" si="35"/>
        <v>03</v>
      </c>
      <c r="H745" s="3">
        <v>637</v>
      </c>
    </row>
    <row r="746" spans="1:8" ht="29.25" x14ac:dyDescent="0.25">
      <c r="A746" s="2" t="str">
        <f>"00026474"</f>
        <v>00026474</v>
      </c>
      <c r="B746" s="2" t="str">
        <f t="shared" si="34"/>
        <v>SG</v>
      </c>
      <c r="C746" s="4" t="s">
        <v>490</v>
      </c>
      <c r="D746" s="4" t="s">
        <v>0</v>
      </c>
      <c r="E746" s="4" t="s">
        <v>12</v>
      </c>
      <c r="F746" s="2" t="s">
        <v>0</v>
      </c>
      <c r="G746" s="2" t="str">
        <f t="shared" si="35"/>
        <v>03</v>
      </c>
      <c r="H746" s="3">
        <v>637</v>
      </c>
    </row>
    <row r="747" spans="1:8" x14ac:dyDescent="0.25">
      <c r="A747" s="2" t="str">
        <f>"00026476"</f>
        <v>00026476</v>
      </c>
      <c r="B747" s="2" t="str">
        <f t="shared" si="34"/>
        <v>SG</v>
      </c>
      <c r="C747" s="4" t="s">
        <v>491</v>
      </c>
      <c r="D747" s="4" t="s">
        <v>0</v>
      </c>
      <c r="E747" s="4" t="s">
        <v>12</v>
      </c>
      <c r="F747" s="2" t="s">
        <v>0</v>
      </c>
      <c r="G747" s="2" t="str">
        <f t="shared" si="35"/>
        <v>03</v>
      </c>
      <c r="H747" s="3">
        <v>637</v>
      </c>
    </row>
    <row r="748" spans="1:8" x14ac:dyDescent="0.25">
      <c r="A748" s="2" t="str">
        <f>"00026477"</f>
        <v>00026477</v>
      </c>
      <c r="B748" s="2" t="str">
        <f t="shared" si="34"/>
        <v>SG</v>
      </c>
      <c r="C748" s="4" t="s">
        <v>492</v>
      </c>
      <c r="D748" s="4" t="s">
        <v>0</v>
      </c>
      <c r="E748" s="4" t="s">
        <v>12</v>
      </c>
      <c r="F748" s="2" t="s">
        <v>0</v>
      </c>
      <c r="G748" s="2" t="str">
        <f t="shared" si="35"/>
        <v>03</v>
      </c>
      <c r="H748" s="3">
        <v>637</v>
      </c>
    </row>
    <row r="749" spans="1:8" ht="29.25" x14ac:dyDescent="0.25">
      <c r="A749" s="2" t="str">
        <f>"00026478"</f>
        <v>00026478</v>
      </c>
      <c r="B749" s="2" t="str">
        <f t="shared" si="34"/>
        <v>SG</v>
      </c>
      <c r="C749" s="4" t="s">
        <v>493</v>
      </c>
      <c r="D749" s="4" t="s">
        <v>0</v>
      </c>
      <c r="E749" s="4" t="s">
        <v>12</v>
      </c>
      <c r="F749" s="2" t="s">
        <v>0</v>
      </c>
      <c r="G749" s="2" t="str">
        <f t="shared" si="35"/>
        <v>03</v>
      </c>
      <c r="H749" s="3">
        <v>637</v>
      </c>
    </row>
    <row r="750" spans="1:8" ht="29.25" x14ac:dyDescent="0.25">
      <c r="A750" s="2" t="str">
        <f>"00026479"</f>
        <v>00026479</v>
      </c>
      <c r="B750" s="2" t="str">
        <f t="shared" si="34"/>
        <v>SG</v>
      </c>
      <c r="C750" s="4" t="s">
        <v>494</v>
      </c>
      <c r="D750" s="4" t="s">
        <v>0</v>
      </c>
      <c r="E750" s="4" t="s">
        <v>12</v>
      </c>
      <c r="F750" s="2" t="s">
        <v>0</v>
      </c>
      <c r="G750" s="2" t="str">
        <f t="shared" si="35"/>
        <v>03</v>
      </c>
      <c r="H750" s="3">
        <v>637</v>
      </c>
    </row>
    <row r="751" spans="1:8" ht="29.25" x14ac:dyDescent="0.25">
      <c r="A751" s="2" t="str">
        <f>"00026480"</f>
        <v>00026480</v>
      </c>
      <c r="B751" s="2" t="str">
        <f t="shared" si="34"/>
        <v>SG</v>
      </c>
      <c r="C751" s="4" t="s">
        <v>495</v>
      </c>
      <c r="D751" s="4" t="s">
        <v>0</v>
      </c>
      <c r="E751" s="4" t="s">
        <v>12</v>
      </c>
      <c r="F751" s="2" t="s">
        <v>0</v>
      </c>
      <c r="G751" s="2" t="str">
        <f t="shared" si="35"/>
        <v>03</v>
      </c>
      <c r="H751" s="3">
        <v>637</v>
      </c>
    </row>
    <row r="752" spans="1:8" ht="29.25" x14ac:dyDescent="0.25">
      <c r="A752" s="2" t="str">
        <f>"00026483"</f>
        <v>00026483</v>
      </c>
      <c r="B752" s="2" t="str">
        <f t="shared" si="34"/>
        <v>SG</v>
      </c>
      <c r="C752" s="4" t="s">
        <v>496</v>
      </c>
      <c r="D752" s="4" t="s">
        <v>0</v>
      </c>
      <c r="E752" s="4" t="s">
        <v>12</v>
      </c>
      <c r="F752" s="2" t="s">
        <v>0</v>
      </c>
      <c r="G752" s="2" t="str">
        <f t="shared" si="35"/>
        <v>03</v>
      </c>
      <c r="H752" s="3">
        <v>637</v>
      </c>
    </row>
    <row r="753" spans="1:8" x14ac:dyDescent="0.25">
      <c r="A753" s="2" t="str">
        <f>"00026485"</f>
        <v>00026485</v>
      </c>
      <c r="B753" s="2" t="str">
        <f t="shared" si="34"/>
        <v>SG</v>
      </c>
      <c r="C753" s="4" t="s">
        <v>497</v>
      </c>
      <c r="D753" s="4" t="s">
        <v>0</v>
      </c>
      <c r="E753" s="4" t="s">
        <v>12</v>
      </c>
      <c r="F753" s="2" t="s">
        <v>0</v>
      </c>
      <c r="G753" s="2" t="str">
        <f t="shared" si="35"/>
        <v>03</v>
      </c>
      <c r="H753" s="3">
        <v>637</v>
      </c>
    </row>
    <row r="754" spans="1:8" ht="29.25" x14ac:dyDescent="0.25">
      <c r="A754" s="2" t="str">
        <f>"00026489"</f>
        <v>00026489</v>
      </c>
      <c r="B754" s="2" t="str">
        <f t="shared" si="34"/>
        <v>SG</v>
      </c>
      <c r="C754" s="4" t="s">
        <v>498</v>
      </c>
      <c r="D754" s="4" t="s">
        <v>0</v>
      </c>
      <c r="E754" s="4" t="s">
        <v>12</v>
      </c>
      <c r="F754" s="2" t="s">
        <v>0</v>
      </c>
      <c r="G754" s="2" t="str">
        <f t="shared" si="35"/>
        <v>03</v>
      </c>
      <c r="H754" s="3">
        <v>637</v>
      </c>
    </row>
    <row r="755" spans="1:8" x14ac:dyDescent="0.25">
      <c r="A755" s="2" t="str">
        <f>"00026490"</f>
        <v>00026490</v>
      </c>
      <c r="B755" s="2" t="str">
        <f t="shared" si="34"/>
        <v>SG</v>
      </c>
      <c r="C755" s="4" t="s">
        <v>499</v>
      </c>
      <c r="D755" s="4" t="s">
        <v>0</v>
      </c>
      <c r="E755" s="4" t="s">
        <v>12</v>
      </c>
      <c r="F755" s="2" t="s">
        <v>0</v>
      </c>
      <c r="G755" s="2" t="str">
        <f t="shared" si="35"/>
        <v>03</v>
      </c>
      <c r="H755" s="3">
        <v>637</v>
      </c>
    </row>
    <row r="756" spans="1:8" ht="29.25" x14ac:dyDescent="0.25">
      <c r="A756" s="2" t="str">
        <f>"00026492"</f>
        <v>00026492</v>
      </c>
      <c r="B756" s="2" t="str">
        <f t="shared" si="34"/>
        <v>SG</v>
      </c>
      <c r="C756" s="4" t="s">
        <v>500</v>
      </c>
      <c r="D756" s="4" t="s">
        <v>0</v>
      </c>
      <c r="E756" s="4" t="s">
        <v>12</v>
      </c>
      <c r="F756" s="2" t="s">
        <v>0</v>
      </c>
      <c r="G756" s="2" t="str">
        <f t="shared" si="35"/>
        <v>03</v>
      </c>
      <c r="H756" s="3">
        <v>637</v>
      </c>
    </row>
    <row r="757" spans="1:8" ht="29.25" x14ac:dyDescent="0.25">
      <c r="A757" s="2" t="str">
        <f>"00026494"</f>
        <v>00026494</v>
      </c>
      <c r="B757" s="2" t="str">
        <f t="shared" si="34"/>
        <v>SG</v>
      </c>
      <c r="C757" s="4" t="s">
        <v>501</v>
      </c>
      <c r="D757" s="4" t="s">
        <v>0</v>
      </c>
      <c r="E757" s="4" t="s">
        <v>12</v>
      </c>
      <c r="F757" s="2" t="s">
        <v>0</v>
      </c>
      <c r="G757" s="2" t="str">
        <f t="shared" si="35"/>
        <v>03</v>
      </c>
      <c r="H757" s="3">
        <v>637</v>
      </c>
    </row>
    <row r="758" spans="1:8" x14ac:dyDescent="0.25">
      <c r="A758" s="2" t="str">
        <f>"00026496"</f>
        <v>00026496</v>
      </c>
      <c r="B758" s="2" t="str">
        <f t="shared" si="34"/>
        <v>SG</v>
      </c>
      <c r="C758" s="4" t="s">
        <v>499</v>
      </c>
      <c r="D758" s="4" t="s">
        <v>0</v>
      </c>
      <c r="E758" s="4" t="s">
        <v>12</v>
      </c>
      <c r="F758" s="2" t="s">
        <v>0</v>
      </c>
      <c r="G758" s="2" t="str">
        <f t="shared" si="35"/>
        <v>03</v>
      </c>
      <c r="H758" s="3">
        <v>637</v>
      </c>
    </row>
    <row r="759" spans="1:8" x14ac:dyDescent="0.25">
      <c r="A759" s="2" t="str">
        <f>"00026497"</f>
        <v>00026497</v>
      </c>
      <c r="B759" s="2" t="str">
        <f t="shared" si="34"/>
        <v>SG</v>
      </c>
      <c r="C759" s="4" t="s">
        <v>502</v>
      </c>
      <c r="D759" s="4" t="s">
        <v>0</v>
      </c>
      <c r="E759" s="4" t="s">
        <v>12</v>
      </c>
      <c r="F759" s="2" t="s">
        <v>0</v>
      </c>
      <c r="G759" s="2" t="str">
        <f t="shared" si="35"/>
        <v>03</v>
      </c>
      <c r="H759" s="3">
        <v>637</v>
      </c>
    </row>
    <row r="760" spans="1:8" x14ac:dyDescent="0.25">
      <c r="A760" s="2" t="str">
        <f>"00026498"</f>
        <v>00026498</v>
      </c>
      <c r="B760" s="2" t="str">
        <f t="shared" si="34"/>
        <v>SG</v>
      </c>
      <c r="C760" s="4" t="s">
        <v>502</v>
      </c>
      <c r="D760" s="4" t="s">
        <v>0</v>
      </c>
      <c r="E760" s="4" t="s">
        <v>12</v>
      </c>
      <c r="F760" s="2" t="s">
        <v>0</v>
      </c>
      <c r="G760" s="2" t="str">
        <f t="shared" si="35"/>
        <v>03</v>
      </c>
      <c r="H760" s="3">
        <v>637</v>
      </c>
    </row>
    <row r="761" spans="1:8" x14ac:dyDescent="0.25">
      <c r="A761" s="2" t="str">
        <f>"00026499"</f>
        <v>00026499</v>
      </c>
      <c r="B761" s="2" t="str">
        <f t="shared" si="34"/>
        <v>SG</v>
      </c>
      <c r="C761" s="4" t="s">
        <v>503</v>
      </c>
      <c r="D761" s="4" t="s">
        <v>0</v>
      </c>
      <c r="E761" s="4" t="s">
        <v>12</v>
      </c>
      <c r="F761" s="2" t="s">
        <v>0</v>
      </c>
      <c r="G761" s="2" t="str">
        <f t="shared" si="35"/>
        <v>03</v>
      </c>
      <c r="H761" s="3">
        <v>637</v>
      </c>
    </row>
    <row r="762" spans="1:8" ht="29.25" x14ac:dyDescent="0.25">
      <c r="A762" s="2" t="str">
        <f>"00026500"</f>
        <v>00026500</v>
      </c>
      <c r="B762" s="2" t="str">
        <f t="shared" si="34"/>
        <v>SG</v>
      </c>
      <c r="C762" s="4" t="s">
        <v>504</v>
      </c>
      <c r="D762" s="4" t="s">
        <v>0</v>
      </c>
      <c r="E762" s="4" t="s">
        <v>12</v>
      </c>
      <c r="F762" s="2" t="s">
        <v>0</v>
      </c>
      <c r="G762" s="2" t="str">
        <f>"01"</f>
        <v>01</v>
      </c>
      <c r="H762" s="3">
        <v>413</v>
      </c>
    </row>
    <row r="763" spans="1:8" ht="29.25" x14ac:dyDescent="0.25">
      <c r="A763" s="2" t="str">
        <f>"00026502"</f>
        <v>00026502</v>
      </c>
      <c r="B763" s="2" t="str">
        <f t="shared" si="34"/>
        <v>SG</v>
      </c>
      <c r="C763" s="4" t="s">
        <v>504</v>
      </c>
      <c r="D763" s="4" t="s">
        <v>0</v>
      </c>
      <c r="E763" s="4" t="s">
        <v>12</v>
      </c>
      <c r="F763" s="2" t="s">
        <v>0</v>
      </c>
      <c r="G763" s="2" t="str">
        <f>"03"</f>
        <v>03</v>
      </c>
      <c r="H763" s="3">
        <v>637</v>
      </c>
    </row>
    <row r="764" spans="1:8" ht="29.25" x14ac:dyDescent="0.25">
      <c r="A764" s="2" t="str">
        <f>"00026508"</f>
        <v>00026508</v>
      </c>
      <c r="B764" s="2" t="str">
        <f t="shared" si="34"/>
        <v>SG</v>
      </c>
      <c r="C764" s="4" t="s">
        <v>505</v>
      </c>
      <c r="D764" s="4" t="s">
        <v>0</v>
      </c>
      <c r="E764" s="4" t="s">
        <v>12</v>
      </c>
      <c r="F764" s="2" t="s">
        <v>0</v>
      </c>
      <c r="G764" s="2" t="str">
        <f>"01"</f>
        <v>01</v>
      </c>
      <c r="H764" s="3">
        <v>413</v>
      </c>
    </row>
    <row r="765" spans="1:8" x14ac:dyDescent="0.25">
      <c r="A765" s="2" t="str">
        <f>"00026510"</f>
        <v>00026510</v>
      </c>
      <c r="B765" s="2" t="str">
        <f t="shared" si="34"/>
        <v>SG</v>
      </c>
      <c r="C765" s="4" t="s">
        <v>506</v>
      </c>
      <c r="D765" s="4" t="s">
        <v>0</v>
      </c>
      <c r="E765" s="4" t="s">
        <v>12</v>
      </c>
      <c r="F765" s="2" t="s">
        <v>0</v>
      </c>
      <c r="G765" s="2" t="str">
        <f>"03"</f>
        <v>03</v>
      </c>
      <c r="H765" s="3">
        <v>637</v>
      </c>
    </row>
    <row r="766" spans="1:8" x14ac:dyDescent="0.25">
      <c r="A766" s="2" t="str">
        <f>"00026516"</f>
        <v>00026516</v>
      </c>
      <c r="B766" s="2" t="str">
        <f t="shared" si="34"/>
        <v>SG</v>
      </c>
      <c r="C766" s="4" t="s">
        <v>507</v>
      </c>
      <c r="D766" s="4" t="s">
        <v>0</v>
      </c>
      <c r="E766" s="4" t="s">
        <v>12</v>
      </c>
      <c r="F766" s="2" t="s">
        <v>0</v>
      </c>
      <c r="G766" s="2" t="str">
        <f>"03"</f>
        <v>03</v>
      </c>
      <c r="H766" s="3">
        <v>637</v>
      </c>
    </row>
    <row r="767" spans="1:8" ht="29.25" x14ac:dyDescent="0.25">
      <c r="A767" s="2" t="str">
        <f>"00026517"</f>
        <v>00026517</v>
      </c>
      <c r="B767" s="2" t="str">
        <f t="shared" si="34"/>
        <v>SG</v>
      </c>
      <c r="C767" s="4" t="s">
        <v>508</v>
      </c>
      <c r="D767" s="4" t="s">
        <v>0</v>
      </c>
      <c r="E767" s="4" t="s">
        <v>12</v>
      </c>
      <c r="F767" s="2" t="s">
        <v>0</v>
      </c>
      <c r="G767" s="2" t="str">
        <f>"03"</f>
        <v>03</v>
      </c>
      <c r="H767" s="3">
        <v>637</v>
      </c>
    </row>
    <row r="768" spans="1:8" ht="29.25" x14ac:dyDescent="0.25">
      <c r="A768" s="2" t="str">
        <f>"00026518"</f>
        <v>00026518</v>
      </c>
      <c r="B768" s="2" t="str">
        <f t="shared" si="34"/>
        <v>SG</v>
      </c>
      <c r="C768" s="4" t="s">
        <v>508</v>
      </c>
      <c r="D768" s="4" t="s">
        <v>0</v>
      </c>
      <c r="E768" s="4" t="s">
        <v>12</v>
      </c>
      <c r="F768" s="2" t="s">
        <v>0</v>
      </c>
      <c r="G768" s="2" t="str">
        <f>"03"</f>
        <v>03</v>
      </c>
      <c r="H768" s="3">
        <v>637</v>
      </c>
    </row>
    <row r="769" spans="1:8" ht="29.25" x14ac:dyDescent="0.25">
      <c r="A769" s="2" t="str">
        <f>"00026520"</f>
        <v>00026520</v>
      </c>
      <c r="B769" s="2" t="str">
        <f t="shared" si="34"/>
        <v>SG</v>
      </c>
      <c r="C769" s="4" t="s">
        <v>509</v>
      </c>
      <c r="D769" s="4" t="s">
        <v>0</v>
      </c>
      <c r="E769" s="4" t="s">
        <v>12</v>
      </c>
      <c r="F769" s="2" t="s">
        <v>0</v>
      </c>
      <c r="G769" s="2" t="str">
        <f>"01"</f>
        <v>01</v>
      </c>
      <c r="H769" s="3">
        <v>413</v>
      </c>
    </row>
    <row r="770" spans="1:8" ht="29.25" x14ac:dyDescent="0.25">
      <c r="A770" s="2" t="str">
        <f>"00026525"</f>
        <v>00026525</v>
      </c>
      <c r="B770" s="2" t="str">
        <f t="shared" si="34"/>
        <v>SG</v>
      </c>
      <c r="C770" s="4" t="s">
        <v>510</v>
      </c>
      <c r="D770" s="4" t="s">
        <v>0</v>
      </c>
      <c r="E770" s="4" t="s">
        <v>12</v>
      </c>
      <c r="F770" s="2" t="s">
        <v>0</v>
      </c>
      <c r="G770" s="2" t="str">
        <f>"01"</f>
        <v>01</v>
      </c>
      <c r="H770" s="3">
        <v>413</v>
      </c>
    </row>
    <row r="771" spans="1:8" x14ac:dyDescent="0.25">
      <c r="A771" s="2" t="str">
        <f>"00026530"</f>
        <v>00026530</v>
      </c>
      <c r="B771" s="2" t="str">
        <f t="shared" si="34"/>
        <v>SG</v>
      </c>
      <c r="C771" s="4" t="s">
        <v>511</v>
      </c>
      <c r="D771" s="4" t="s">
        <v>0</v>
      </c>
      <c r="E771" s="4" t="s">
        <v>12</v>
      </c>
      <c r="F771" s="2" t="s">
        <v>0</v>
      </c>
      <c r="G771" s="2" t="str">
        <f>"06"</f>
        <v>06</v>
      </c>
      <c r="H771" s="3">
        <v>1000</v>
      </c>
    </row>
    <row r="772" spans="1:8" ht="29.25" x14ac:dyDescent="0.25">
      <c r="A772" s="2" t="str">
        <f>"00026531"</f>
        <v>00026531</v>
      </c>
      <c r="B772" s="2" t="str">
        <f t="shared" si="34"/>
        <v>SG</v>
      </c>
      <c r="C772" s="4" t="s">
        <v>512</v>
      </c>
      <c r="D772" s="4" t="s">
        <v>0</v>
      </c>
      <c r="E772" s="4" t="s">
        <v>12</v>
      </c>
      <c r="F772" s="2" t="s">
        <v>0</v>
      </c>
      <c r="G772" s="2" t="str">
        <f>"06"</f>
        <v>06</v>
      </c>
      <c r="H772" s="3">
        <v>1000</v>
      </c>
    </row>
    <row r="773" spans="1:8" x14ac:dyDescent="0.25">
      <c r="A773" s="2" t="str">
        <f>"00026535"</f>
        <v>00026535</v>
      </c>
      <c r="B773" s="2" t="str">
        <f t="shared" si="34"/>
        <v>SG</v>
      </c>
      <c r="C773" s="4" t="s">
        <v>513</v>
      </c>
      <c r="D773" s="4" t="s">
        <v>0</v>
      </c>
      <c r="E773" s="4" t="s">
        <v>12</v>
      </c>
      <c r="F773" s="2" t="s">
        <v>0</v>
      </c>
      <c r="G773" s="2" t="str">
        <f>"06"</f>
        <v>06</v>
      </c>
      <c r="H773" s="3">
        <v>1000</v>
      </c>
    </row>
    <row r="774" spans="1:8" ht="29.25" x14ac:dyDescent="0.25">
      <c r="A774" s="2" t="str">
        <f>"00026536"</f>
        <v>00026536</v>
      </c>
      <c r="B774" s="2" t="str">
        <f t="shared" si="34"/>
        <v>SG</v>
      </c>
      <c r="C774" s="4" t="s">
        <v>514</v>
      </c>
      <c r="D774" s="4" t="s">
        <v>0</v>
      </c>
      <c r="E774" s="4" t="s">
        <v>12</v>
      </c>
      <c r="F774" s="2" t="s">
        <v>0</v>
      </c>
      <c r="G774" s="2" t="str">
        <f>"06"</f>
        <v>06</v>
      </c>
      <c r="H774" s="3">
        <v>1000</v>
      </c>
    </row>
    <row r="775" spans="1:8" x14ac:dyDescent="0.25">
      <c r="A775" s="2" t="str">
        <f>"00026540"</f>
        <v>00026540</v>
      </c>
      <c r="B775" s="2" t="str">
        <f t="shared" si="34"/>
        <v>SG</v>
      </c>
      <c r="C775" s="4" t="s">
        <v>515</v>
      </c>
      <c r="D775" s="4" t="s">
        <v>0</v>
      </c>
      <c r="E775" s="4" t="s">
        <v>12</v>
      </c>
      <c r="F775" s="2" t="s">
        <v>0</v>
      </c>
      <c r="G775" s="2" t="str">
        <f>"01"</f>
        <v>01</v>
      </c>
      <c r="H775" s="3">
        <v>413</v>
      </c>
    </row>
    <row r="776" spans="1:8" ht="29.25" x14ac:dyDescent="0.25">
      <c r="A776" s="2" t="str">
        <f>"00026541"</f>
        <v>00026541</v>
      </c>
      <c r="B776" s="2" t="str">
        <f t="shared" si="34"/>
        <v>SG</v>
      </c>
      <c r="C776" s="4" t="s">
        <v>516</v>
      </c>
      <c r="D776" s="4" t="s">
        <v>0</v>
      </c>
      <c r="E776" s="4" t="s">
        <v>12</v>
      </c>
      <c r="F776" s="2" t="s">
        <v>0</v>
      </c>
      <c r="G776" s="2" t="str">
        <f>"03"</f>
        <v>03</v>
      </c>
      <c r="H776" s="3">
        <v>637</v>
      </c>
    </row>
    <row r="777" spans="1:8" ht="29.25" x14ac:dyDescent="0.25">
      <c r="A777" s="2" t="str">
        <f>"00026542"</f>
        <v>00026542</v>
      </c>
      <c r="B777" s="2" t="str">
        <f t="shared" si="34"/>
        <v>SG</v>
      </c>
      <c r="C777" s="4" t="s">
        <v>516</v>
      </c>
      <c r="D777" s="4" t="s">
        <v>0</v>
      </c>
      <c r="E777" s="4" t="s">
        <v>12</v>
      </c>
      <c r="F777" s="2" t="s">
        <v>0</v>
      </c>
      <c r="G777" s="2" t="str">
        <f>"01"</f>
        <v>01</v>
      </c>
      <c r="H777" s="3">
        <v>413</v>
      </c>
    </row>
    <row r="778" spans="1:8" ht="29.25" x14ac:dyDescent="0.25">
      <c r="A778" s="2" t="str">
        <f>"00026545"</f>
        <v>00026545</v>
      </c>
      <c r="B778" s="2" t="str">
        <f t="shared" si="34"/>
        <v>SG</v>
      </c>
      <c r="C778" s="4" t="s">
        <v>517</v>
      </c>
      <c r="D778" s="4" t="s">
        <v>0</v>
      </c>
      <c r="E778" s="4" t="s">
        <v>12</v>
      </c>
      <c r="F778" s="2" t="s">
        <v>0</v>
      </c>
      <c r="G778" s="2" t="str">
        <f>"03"</f>
        <v>03</v>
      </c>
      <c r="H778" s="3">
        <v>637</v>
      </c>
    </row>
    <row r="779" spans="1:8" x14ac:dyDescent="0.25">
      <c r="A779" s="2" t="str">
        <f>"00026546"</f>
        <v>00026546</v>
      </c>
      <c r="B779" s="2" t="str">
        <f t="shared" si="34"/>
        <v>SG</v>
      </c>
      <c r="C779" s="4" t="s">
        <v>518</v>
      </c>
      <c r="D779" s="4" t="s">
        <v>0</v>
      </c>
      <c r="E779" s="4" t="s">
        <v>12</v>
      </c>
      <c r="F779" s="2" t="s">
        <v>0</v>
      </c>
      <c r="G779" s="2" t="str">
        <f>"03"</f>
        <v>03</v>
      </c>
      <c r="H779" s="3">
        <v>637</v>
      </c>
    </row>
    <row r="780" spans="1:8" ht="29.25" x14ac:dyDescent="0.25">
      <c r="A780" s="2" t="str">
        <f>"00026548"</f>
        <v>00026548</v>
      </c>
      <c r="B780" s="2" t="str">
        <f t="shared" si="34"/>
        <v>SG</v>
      </c>
      <c r="C780" s="4" t="s">
        <v>517</v>
      </c>
      <c r="D780" s="4" t="s">
        <v>0</v>
      </c>
      <c r="E780" s="4" t="s">
        <v>12</v>
      </c>
      <c r="F780" s="2" t="s">
        <v>0</v>
      </c>
      <c r="G780" s="2" t="str">
        <f>"03"</f>
        <v>03</v>
      </c>
      <c r="H780" s="3">
        <v>637</v>
      </c>
    </row>
    <row r="781" spans="1:8" ht="29.25" x14ac:dyDescent="0.25">
      <c r="A781" s="2" t="str">
        <f>"00026550"</f>
        <v>00026550</v>
      </c>
      <c r="B781" s="2" t="str">
        <f t="shared" ref="B781:B844" si="36">"SG"</f>
        <v>SG</v>
      </c>
      <c r="C781" s="4" t="s">
        <v>519</v>
      </c>
      <c r="D781" s="4" t="s">
        <v>0</v>
      </c>
      <c r="E781" s="4" t="s">
        <v>12</v>
      </c>
      <c r="F781" s="2" t="s">
        <v>0</v>
      </c>
      <c r="G781" s="2" t="str">
        <f>"03"</f>
        <v>03</v>
      </c>
      <c r="H781" s="3">
        <v>637</v>
      </c>
    </row>
    <row r="782" spans="1:8" ht="29.25" x14ac:dyDescent="0.25">
      <c r="A782" s="2" t="str">
        <f>"00026555"</f>
        <v>00026555</v>
      </c>
      <c r="B782" s="2" t="str">
        <f t="shared" si="36"/>
        <v>SG</v>
      </c>
      <c r="C782" s="4" t="s">
        <v>520</v>
      </c>
      <c r="D782" s="4" t="s">
        <v>0</v>
      </c>
      <c r="E782" s="4" t="s">
        <v>12</v>
      </c>
      <c r="F782" s="2" t="s">
        <v>0</v>
      </c>
      <c r="G782" s="2" t="str">
        <f>"03"</f>
        <v>03</v>
      </c>
      <c r="H782" s="3">
        <v>637</v>
      </c>
    </row>
    <row r="783" spans="1:8" x14ac:dyDescent="0.25">
      <c r="A783" s="2" t="str">
        <f>"00026560"</f>
        <v>00026560</v>
      </c>
      <c r="B783" s="2" t="str">
        <f t="shared" si="36"/>
        <v>SG</v>
      </c>
      <c r="C783" s="4" t="s">
        <v>521</v>
      </c>
      <c r="D783" s="4" t="s">
        <v>0</v>
      </c>
      <c r="E783" s="4" t="s">
        <v>12</v>
      </c>
      <c r="F783" s="2" t="s">
        <v>0</v>
      </c>
      <c r="G783" s="2" t="str">
        <f>"01"</f>
        <v>01</v>
      </c>
      <c r="H783" s="3">
        <v>413</v>
      </c>
    </row>
    <row r="784" spans="1:8" x14ac:dyDescent="0.25">
      <c r="A784" s="2" t="str">
        <f>"00026561"</f>
        <v>00026561</v>
      </c>
      <c r="B784" s="2" t="str">
        <f t="shared" si="36"/>
        <v>SG</v>
      </c>
      <c r="C784" s="4" t="s">
        <v>521</v>
      </c>
      <c r="D784" s="4" t="s">
        <v>0</v>
      </c>
      <c r="E784" s="4" t="s">
        <v>12</v>
      </c>
      <c r="F784" s="2" t="s">
        <v>0</v>
      </c>
      <c r="G784" s="2" t="str">
        <f>"03"</f>
        <v>03</v>
      </c>
      <c r="H784" s="3">
        <v>637</v>
      </c>
    </row>
    <row r="785" spans="1:8" x14ac:dyDescent="0.25">
      <c r="A785" s="2" t="str">
        <f>"00026562"</f>
        <v>00026562</v>
      </c>
      <c r="B785" s="2" t="str">
        <f t="shared" si="36"/>
        <v>SG</v>
      </c>
      <c r="C785" s="4" t="s">
        <v>521</v>
      </c>
      <c r="D785" s="4" t="s">
        <v>0</v>
      </c>
      <c r="E785" s="4" t="s">
        <v>12</v>
      </c>
      <c r="F785" s="2" t="s">
        <v>0</v>
      </c>
      <c r="G785" s="2" t="str">
        <f>"03"</f>
        <v>03</v>
      </c>
      <c r="H785" s="3">
        <v>637</v>
      </c>
    </row>
    <row r="786" spans="1:8" ht="29.25" x14ac:dyDescent="0.25">
      <c r="A786" s="2" t="str">
        <f>"00026565"</f>
        <v>00026565</v>
      </c>
      <c r="B786" s="2" t="str">
        <f t="shared" si="36"/>
        <v>SG</v>
      </c>
      <c r="C786" s="4" t="s">
        <v>522</v>
      </c>
      <c r="D786" s="4" t="s">
        <v>0</v>
      </c>
      <c r="E786" s="4" t="s">
        <v>12</v>
      </c>
      <c r="F786" s="2" t="s">
        <v>0</v>
      </c>
      <c r="G786" s="2" t="str">
        <f>"03"</f>
        <v>03</v>
      </c>
      <c r="H786" s="3">
        <v>637</v>
      </c>
    </row>
    <row r="787" spans="1:8" ht="29.25" x14ac:dyDescent="0.25">
      <c r="A787" s="2" t="str">
        <f>"00026567"</f>
        <v>00026567</v>
      </c>
      <c r="B787" s="2" t="str">
        <f t="shared" si="36"/>
        <v>SG</v>
      </c>
      <c r="C787" s="4" t="s">
        <v>523</v>
      </c>
      <c r="D787" s="4" t="s">
        <v>0</v>
      </c>
      <c r="E787" s="4" t="s">
        <v>12</v>
      </c>
      <c r="F787" s="2" t="s">
        <v>0</v>
      </c>
      <c r="G787" s="2" t="str">
        <f>"03"</f>
        <v>03</v>
      </c>
      <c r="H787" s="3">
        <v>637</v>
      </c>
    </row>
    <row r="788" spans="1:8" ht="29.25" x14ac:dyDescent="0.25">
      <c r="A788" s="2" t="str">
        <f>"00026568"</f>
        <v>00026568</v>
      </c>
      <c r="B788" s="2" t="str">
        <f t="shared" si="36"/>
        <v>SG</v>
      </c>
      <c r="C788" s="4" t="s">
        <v>524</v>
      </c>
      <c r="D788" s="4" t="s">
        <v>0</v>
      </c>
      <c r="E788" s="4" t="s">
        <v>12</v>
      </c>
      <c r="F788" s="2" t="s">
        <v>0</v>
      </c>
      <c r="G788" s="2" t="str">
        <f>"03"</f>
        <v>03</v>
      </c>
      <c r="H788" s="3">
        <v>637</v>
      </c>
    </row>
    <row r="789" spans="1:8" x14ac:dyDescent="0.25">
      <c r="A789" s="2" t="str">
        <f>"00026580"</f>
        <v>00026580</v>
      </c>
      <c r="B789" s="2" t="str">
        <f t="shared" si="36"/>
        <v>SG</v>
      </c>
      <c r="C789" s="4" t="s">
        <v>525</v>
      </c>
      <c r="D789" s="4" t="s">
        <v>0</v>
      </c>
      <c r="E789" s="4" t="s">
        <v>12</v>
      </c>
      <c r="F789" s="2" t="s">
        <v>0</v>
      </c>
      <c r="G789" s="2" t="str">
        <f>"01"</f>
        <v>01</v>
      </c>
      <c r="H789" s="3">
        <v>413</v>
      </c>
    </row>
    <row r="790" spans="1:8" ht="29.25" x14ac:dyDescent="0.25">
      <c r="A790" s="2" t="str">
        <f>"00026587"</f>
        <v>00026587</v>
      </c>
      <c r="B790" s="2" t="str">
        <f t="shared" si="36"/>
        <v>SG</v>
      </c>
      <c r="C790" s="4" t="s">
        <v>526</v>
      </c>
      <c r="D790" s="4" t="s">
        <v>0</v>
      </c>
      <c r="E790" s="4" t="s">
        <v>12</v>
      </c>
      <c r="F790" s="2" t="s">
        <v>0</v>
      </c>
      <c r="G790" s="2" t="str">
        <f>"01"</f>
        <v>01</v>
      </c>
      <c r="H790" s="3">
        <v>413</v>
      </c>
    </row>
    <row r="791" spans="1:8" x14ac:dyDescent="0.25">
      <c r="A791" s="2" t="str">
        <f>"00026590"</f>
        <v>00026590</v>
      </c>
      <c r="B791" s="2" t="str">
        <f t="shared" si="36"/>
        <v>SG</v>
      </c>
      <c r="C791" s="4" t="s">
        <v>527</v>
      </c>
      <c r="D791" s="4" t="s">
        <v>0</v>
      </c>
      <c r="E791" s="4" t="s">
        <v>12</v>
      </c>
      <c r="F791" s="2" t="s">
        <v>0</v>
      </c>
      <c r="G791" s="2" t="str">
        <f>"01"</f>
        <v>01</v>
      </c>
      <c r="H791" s="3">
        <v>413</v>
      </c>
    </row>
    <row r="792" spans="1:8" x14ac:dyDescent="0.25">
      <c r="A792" s="2" t="str">
        <f>"00026591"</f>
        <v>00026591</v>
      </c>
      <c r="B792" s="2" t="str">
        <f t="shared" si="36"/>
        <v>SG</v>
      </c>
      <c r="C792" s="4" t="s">
        <v>528</v>
      </c>
      <c r="D792" s="4" t="s">
        <v>0</v>
      </c>
      <c r="E792" s="4" t="s">
        <v>12</v>
      </c>
      <c r="F792" s="2" t="s">
        <v>0</v>
      </c>
      <c r="G792" s="2" t="str">
        <f>"03"</f>
        <v>03</v>
      </c>
      <c r="H792" s="3">
        <v>637</v>
      </c>
    </row>
    <row r="793" spans="1:8" ht="29.25" x14ac:dyDescent="0.25">
      <c r="A793" s="2" t="str">
        <f>"00026593"</f>
        <v>00026593</v>
      </c>
      <c r="B793" s="2" t="str">
        <f t="shared" si="36"/>
        <v>SG</v>
      </c>
      <c r="C793" s="4" t="s">
        <v>529</v>
      </c>
      <c r="D793" s="4" t="s">
        <v>0</v>
      </c>
      <c r="E793" s="4" t="s">
        <v>12</v>
      </c>
      <c r="F793" s="2" t="s">
        <v>0</v>
      </c>
      <c r="G793" s="2" t="str">
        <f>"01"</f>
        <v>01</v>
      </c>
      <c r="H793" s="3">
        <v>413</v>
      </c>
    </row>
    <row r="794" spans="1:8" ht="29.25" x14ac:dyDescent="0.25">
      <c r="A794" s="2" t="str">
        <f>"00026596"</f>
        <v>00026596</v>
      </c>
      <c r="B794" s="2" t="str">
        <f t="shared" si="36"/>
        <v>SG</v>
      </c>
      <c r="C794" s="4" t="s">
        <v>530</v>
      </c>
      <c r="D794" s="4" t="s">
        <v>0</v>
      </c>
      <c r="E794" s="4" t="s">
        <v>12</v>
      </c>
      <c r="F794" s="2" t="s">
        <v>0</v>
      </c>
      <c r="G794" s="2" t="str">
        <f>"01"</f>
        <v>01</v>
      </c>
      <c r="H794" s="3">
        <v>413</v>
      </c>
    </row>
    <row r="795" spans="1:8" ht="29.25" x14ac:dyDescent="0.25">
      <c r="A795" s="2" t="str">
        <f>"00026605"</f>
        <v>00026605</v>
      </c>
      <c r="B795" s="2" t="str">
        <f t="shared" si="36"/>
        <v>SG</v>
      </c>
      <c r="C795" s="4" t="s">
        <v>531</v>
      </c>
      <c r="D795" s="4" t="s">
        <v>0</v>
      </c>
      <c r="E795" s="4" t="s">
        <v>12</v>
      </c>
      <c r="F795" s="2" t="s">
        <v>0</v>
      </c>
      <c r="G795" s="2" t="str">
        <f>"01"</f>
        <v>01</v>
      </c>
      <c r="H795" s="3">
        <v>413</v>
      </c>
    </row>
    <row r="796" spans="1:8" ht="29.25" x14ac:dyDescent="0.25">
      <c r="A796" s="2" t="str">
        <f>"00026607"</f>
        <v>00026607</v>
      </c>
      <c r="B796" s="2" t="str">
        <f t="shared" si="36"/>
        <v>SG</v>
      </c>
      <c r="C796" s="4" t="s">
        <v>531</v>
      </c>
      <c r="D796" s="4" t="s">
        <v>0</v>
      </c>
      <c r="E796" s="4" t="s">
        <v>12</v>
      </c>
      <c r="F796" s="2" t="s">
        <v>0</v>
      </c>
      <c r="G796" s="2" t="str">
        <f>"01"</f>
        <v>01</v>
      </c>
      <c r="H796" s="3">
        <v>413</v>
      </c>
    </row>
    <row r="797" spans="1:8" ht="29.25" x14ac:dyDescent="0.25">
      <c r="A797" s="2" t="str">
        <f>"00026608"</f>
        <v>00026608</v>
      </c>
      <c r="B797" s="2" t="str">
        <f t="shared" si="36"/>
        <v>SG</v>
      </c>
      <c r="C797" s="4" t="s">
        <v>531</v>
      </c>
      <c r="D797" s="4" t="s">
        <v>0</v>
      </c>
      <c r="E797" s="4" t="s">
        <v>12</v>
      </c>
      <c r="F797" s="2" t="s">
        <v>0</v>
      </c>
      <c r="G797" s="2" t="str">
        <f>"03"</f>
        <v>03</v>
      </c>
      <c r="H797" s="3">
        <v>637</v>
      </c>
    </row>
    <row r="798" spans="1:8" ht="29.25" x14ac:dyDescent="0.25">
      <c r="A798" s="2" t="str">
        <f>"00026615"</f>
        <v>00026615</v>
      </c>
      <c r="B798" s="2" t="str">
        <f t="shared" si="36"/>
        <v>SG</v>
      </c>
      <c r="C798" s="4" t="s">
        <v>531</v>
      </c>
      <c r="D798" s="4" t="s">
        <v>0</v>
      </c>
      <c r="E798" s="4" t="s">
        <v>12</v>
      </c>
      <c r="F798" s="2" t="s">
        <v>0</v>
      </c>
      <c r="G798" s="2" t="str">
        <f>"08"</f>
        <v>08</v>
      </c>
      <c r="H798" s="3">
        <v>1183</v>
      </c>
    </row>
    <row r="799" spans="1:8" x14ac:dyDescent="0.25">
      <c r="A799" s="2" t="str">
        <f>"00026645"</f>
        <v>00026645</v>
      </c>
      <c r="B799" s="2" t="str">
        <f t="shared" si="36"/>
        <v>SG</v>
      </c>
      <c r="C799" s="4" t="s">
        <v>532</v>
      </c>
      <c r="D799" s="4" t="s">
        <v>0</v>
      </c>
      <c r="E799" s="4" t="s">
        <v>12</v>
      </c>
      <c r="F799" s="2" t="s">
        <v>0</v>
      </c>
      <c r="G799" s="2" t="str">
        <f>"01"</f>
        <v>01</v>
      </c>
      <c r="H799" s="3">
        <v>413</v>
      </c>
    </row>
    <row r="800" spans="1:8" x14ac:dyDescent="0.25">
      <c r="A800" s="2" t="str">
        <f>"00026650"</f>
        <v>00026650</v>
      </c>
      <c r="B800" s="2" t="str">
        <f t="shared" si="36"/>
        <v>SG</v>
      </c>
      <c r="C800" s="4" t="s">
        <v>532</v>
      </c>
      <c r="D800" s="4" t="s">
        <v>0</v>
      </c>
      <c r="E800" s="4" t="s">
        <v>12</v>
      </c>
      <c r="F800" s="2" t="s">
        <v>0</v>
      </c>
      <c r="G800" s="2" t="str">
        <f>"03"</f>
        <v>03</v>
      </c>
      <c r="H800" s="3">
        <v>637</v>
      </c>
    </row>
    <row r="801" spans="1:8" x14ac:dyDescent="0.25">
      <c r="A801" s="2" t="str">
        <f>"00026665"</f>
        <v>00026665</v>
      </c>
      <c r="B801" s="2" t="str">
        <f t="shared" si="36"/>
        <v>SG</v>
      </c>
      <c r="C801" s="4" t="s">
        <v>532</v>
      </c>
      <c r="D801" s="4" t="s">
        <v>0</v>
      </c>
      <c r="E801" s="4" t="s">
        <v>12</v>
      </c>
      <c r="F801" s="2" t="s">
        <v>0</v>
      </c>
      <c r="G801" s="2" t="str">
        <f>"08"</f>
        <v>08</v>
      </c>
      <c r="H801" s="3">
        <v>1183</v>
      </c>
    </row>
    <row r="802" spans="1:8" x14ac:dyDescent="0.25">
      <c r="A802" s="2" t="str">
        <f>"00026675"</f>
        <v>00026675</v>
      </c>
      <c r="B802" s="2" t="str">
        <f t="shared" si="36"/>
        <v>SG</v>
      </c>
      <c r="C802" s="4" t="s">
        <v>533</v>
      </c>
      <c r="D802" s="4" t="s">
        <v>0</v>
      </c>
      <c r="E802" s="4" t="s">
        <v>12</v>
      </c>
      <c r="F802" s="2" t="s">
        <v>0</v>
      </c>
      <c r="G802" s="2" t="str">
        <f>"01"</f>
        <v>01</v>
      </c>
      <c r="H802" s="3">
        <v>413</v>
      </c>
    </row>
    <row r="803" spans="1:8" x14ac:dyDescent="0.25">
      <c r="A803" s="2" t="str">
        <f>"00026676"</f>
        <v>00026676</v>
      </c>
      <c r="B803" s="2" t="str">
        <f t="shared" si="36"/>
        <v>SG</v>
      </c>
      <c r="C803" s="4" t="s">
        <v>534</v>
      </c>
      <c r="D803" s="4" t="s">
        <v>0</v>
      </c>
      <c r="E803" s="4" t="s">
        <v>12</v>
      </c>
      <c r="F803" s="2" t="s">
        <v>0</v>
      </c>
      <c r="G803" s="2" t="str">
        <f>"03"</f>
        <v>03</v>
      </c>
      <c r="H803" s="3">
        <v>637</v>
      </c>
    </row>
    <row r="804" spans="1:8" x14ac:dyDescent="0.25">
      <c r="A804" s="2" t="str">
        <f>"00026685"</f>
        <v>00026685</v>
      </c>
      <c r="B804" s="2" t="str">
        <f t="shared" si="36"/>
        <v>SG</v>
      </c>
      <c r="C804" s="4" t="s">
        <v>533</v>
      </c>
      <c r="D804" s="4" t="s">
        <v>0</v>
      </c>
      <c r="E804" s="4" t="s">
        <v>12</v>
      </c>
      <c r="F804" s="2" t="s">
        <v>0</v>
      </c>
      <c r="G804" s="2" t="str">
        <f>"03"</f>
        <v>03</v>
      </c>
      <c r="H804" s="3">
        <v>637</v>
      </c>
    </row>
    <row r="805" spans="1:8" x14ac:dyDescent="0.25">
      <c r="A805" s="2" t="str">
        <f>"00026686"</f>
        <v>00026686</v>
      </c>
      <c r="B805" s="2" t="str">
        <f t="shared" si="36"/>
        <v>SG</v>
      </c>
      <c r="C805" s="4" t="s">
        <v>533</v>
      </c>
      <c r="D805" s="4" t="s">
        <v>0</v>
      </c>
      <c r="E805" s="4" t="s">
        <v>12</v>
      </c>
      <c r="F805" s="2" t="s">
        <v>0</v>
      </c>
      <c r="G805" s="2" t="str">
        <f>"09"</f>
        <v>09</v>
      </c>
      <c r="H805" s="3">
        <v>1662</v>
      </c>
    </row>
    <row r="806" spans="1:8" ht="29.25" x14ac:dyDescent="0.25">
      <c r="A806" s="2" t="str">
        <f>"00026705"</f>
        <v>00026705</v>
      </c>
      <c r="B806" s="2" t="str">
        <f t="shared" si="36"/>
        <v>SG</v>
      </c>
      <c r="C806" s="4" t="s">
        <v>535</v>
      </c>
      <c r="D806" s="4" t="s">
        <v>0</v>
      </c>
      <c r="E806" s="4" t="s">
        <v>12</v>
      </c>
      <c r="F806" s="2" t="s">
        <v>0</v>
      </c>
      <c r="G806" s="2" t="str">
        <f>"01"</f>
        <v>01</v>
      </c>
      <c r="H806" s="3">
        <v>413</v>
      </c>
    </row>
    <row r="807" spans="1:8" x14ac:dyDescent="0.25">
      <c r="A807" s="2" t="str">
        <f>"00026706"</f>
        <v>00026706</v>
      </c>
      <c r="B807" s="2" t="str">
        <f t="shared" si="36"/>
        <v>SG</v>
      </c>
      <c r="C807" s="4" t="s">
        <v>536</v>
      </c>
      <c r="D807" s="4" t="s">
        <v>0</v>
      </c>
      <c r="E807" s="4" t="s">
        <v>12</v>
      </c>
      <c r="F807" s="2" t="s">
        <v>0</v>
      </c>
      <c r="G807" s="2" t="str">
        <f>"01"</f>
        <v>01</v>
      </c>
      <c r="H807" s="3">
        <v>413</v>
      </c>
    </row>
    <row r="808" spans="1:8" ht="29.25" x14ac:dyDescent="0.25">
      <c r="A808" s="2" t="str">
        <f>"00026715"</f>
        <v>00026715</v>
      </c>
      <c r="B808" s="2" t="str">
        <f t="shared" si="36"/>
        <v>SG</v>
      </c>
      <c r="C808" s="4" t="s">
        <v>535</v>
      </c>
      <c r="D808" s="4" t="s">
        <v>0</v>
      </c>
      <c r="E808" s="4" t="s">
        <v>12</v>
      </c>
      <c r="F808" s="2" t="s">
        <v>0</v>
      </c>
      <c r="G808" s="2" t="str">
        <f>"03"</f>
        <v>03</v>
      </c>
      <c r="H808" s="3">
        <v>637</v>
      </c>
    </row>
    <row r="809" spans="1:8" ht="29.25" x14ac:dyDescent="0.25">
      <c r="A809" s="2" t="str">
        <f>"00026727"</f>
        <v>00026727</v>
      </c>
      <c r="B809" s="2" t="str">
        <f t="shared" si="36"/>
        <v>SG</v>
      </c>
      <c r="C809" s="4" t="s">
        <v>537</v>
      </c>
      <c r="D809" s="4" t="s">
        <v>0</v>
      </c>
      <c r="E809" s="4" t="s">
        <v>12</v>
      </c>
      <c r="F809" s="2" t="s">
        <v>0</v>
      </c>
      <c r="G809" s="2" t="str">
        <f>"03"</f>
        <v>03</v>
      </c>
      <c r="H809" s="3">
        <v>637</v>
      </c>
    </row>
    <row r="810" spans="1:8" ht="29.25" x14ac:dyDescent="0.25">
      <c r="A810" s="2" t="str">
        <f>"00026735"</f>
        <v>00026735</v>
      </c>
      <c r="B810" s="2" t="str">
        <f t="shared" si="36"/>
        <v>SG</v>
      </c>
      <c r="C810" s="4" t="s">
        <v>537</v>
      </c>
      <c r="D810" s="4" t="s">
        <v>0</v>
      </c>
      <c r="E810" s="4" t="s">
        <v>12</v>
      </c>
      <c r="F810" s="2" t="s">
        <v>0</v>
      </c>
      <c r="G810" s="2" t="str">
        <f>"03"</f>
        <v>03</v>
      </c>
      <c r="H810" s="3">
        <v>637</v>
      </c>
    </row>
    <row r="811" spans="1:8" ht="29.25" x14ac:dyDescent="0.25">
      <c r="A811" s="2" t="str">
        <f>"00026742"</f>
        <v>00026742</v>
      </c>
      <c r="B811" s="2" t="str">
        <f t="shared" si="36"/>
        <v>SG</v>
      </c>
      <c r="C811" s="4" t="s">
        <v>537</v>
      </c>
      <c r="D811" s="4" t="s">
        <v>0</v>
      </c>
      <c r="E811" s="4" t="s">
        <v>12</v>
      </c>
      <c r="F811" s="2" t="s">
        <v>0</v>
      </c>
      <c r="G811" s="2" t="str">
        <f>"01"</f>
        <v>01</v>
      </c>
      <c r="H811" s="3">
        <v>413</v>
      </c>
    </row>
    <row r="812" spans="1:8" ht="29.25" x14ac:dyDescent="0.25">
      <c r="A812" s="2" t="str">
        <f>"00026746"</f>
        <v>00026746</v>
      </c>
      <c r="B812" s="2" t="str">
        <f t="shared" si="36"/>
        <v>SG</v>
      </c>
      <c r="C812" s="4" t="s">
        <v>537</v>
      </c>
      <c r="D812" s="4" t="s">
        <v>0</v>
      </c>
      <c r="E812" s="4" t="s">
        <v>12</v>
      </c>
      <c r="F812" s="2" t="s">
        <v>0</v>
      </c>
      <c r="G812" s="2" t="str">
        <f t="shared" ref="G812:G824" si="37">"03"</f>
        <v>03</v>
      </c>
      <c r="H812" s="3">
        <v>637</v>
      </c>
    </row>
    <row r="813" spans="1:8" ht="29.25" x14ac:dyDescent="0.25">
      <c r="A813" s="2" t="str">
        <f>"00026756"</f>
        <v>00026756</v>
      </c>
      <c r="B813" s="2" t="str">
        <f t="shared" si="36"/>
        <v>SG</v>
      </c>
      <c r="C813" s="4" t="s">
        <v>538</v>
      </c>
      <c r="D813" s="4" t="s">
        <v>0</v>
      </c>
      <c r="E813" s="4" t="s">
        <v>12</v>
      </c>
      <c r="F813" s="2" t="s">
        <v>0</v>
      </c>
      <c r="G813" s="2" t="str">
        <f t="shared" si="37"/>
        <v>03</v>
      </c>
      <c r="H813" s="3">
        <v>637</v>
      </c>
    </row>
    <row r="814" spans="1:8" ht="29.25" x14ac:dyDescent="0.25">
      <c r="A814" s="2" t="str">
        <f>"00026765"</f>
        <v>00026765</v>
      </c>
      <c r="B814" s="2" t="str">
        <f t="shared" si="36"/>
        <v>SG</v>
      </c>
      <c r="C814" s="4" t="s">
        <v>537</v>
      </c>
      <c r="D814" s="4" t="s">
        <v>0</v>
      </c>
      <c r="E814" s="4" t="s">
        <v>12</v>
      </c>
      <c r="F814" s="2" t="s">
        <v>0</v>
      </c>
      <c r="G814" s="2" t="str">
        <f t="shared" si="37"/>
        <v>03</v>
      </c>
      <c r="H814" s="3">
        <v>637</v>
      </c>
    </row>
    <row r="815" spans="1:8" x14ac:dyDescent="0.25">
      <c r="A815" s="2" t="str">
        <f>"00026776"</f>
        <v>00026776</v>
      </c>
      <c r="B815" s="2" t="str">
        <f t="shared" si="36"/>
        <v>SG</v>
      </c>
      <c r="C815" s="4" t="s">
        <v>539</v>
      </c>
      <c r="D815" s="4" t="s">
        <v>0</v>
      </c>
      <c r="E815" s="4" t="s">
        <v>12</v>
      </c>
      <c r="F815" s="2" t="s">
        <v>0</v>
      </c>
      <c r="G815" s="2" t="str">
        <f t="shared" si="37"/>
        <v>03</v>
      </c>
      <c r="H815" s="3">
        <v>637</v>
      </c>
    </row>
    <row r="816" spans="1:8" ht="29.25" x14ac:dyDescent="0.25">
      <c r="A816" s="2" t="str">
        <f>"00026785"</f>
        <v>00026785</v>
      </c>
      <c r="B816" s="2" t="str">
        <f t="shared" si="36"/>
        <v>SG</v>
      </c>
      <c r="C816" s="4" t="s">
        <v>540</v>
      </c>
      <c r="D816" s="4" t="s">
        <v>0</v>
      </c>
      <c r="E816" s="4" t="s">
        <v>12</v>
      </c>
      <c r="F816" s="2" t="s">
        <v>0</v>
      </c>
      <c r="G816" s="2" t="str">
        <f t="shared" si="37"/>
        <v>03</v>
      </c>
      <c r="H816" s="3">
        <v>637</v>
      </c>
    </row>
    <row r="817" spans="1:8" x14ac:dyDescent="0.25">
      <c r="A817" s="2" t="str">
        <f>"00026820"</f>
        <v>00026820</v>
      </c>
      <c r="B817" s="2" t="str">
        <f t="shared" si="36"/>
        <v>SG</v>
      </c>
      <c r="C817" s="4" t="s">
        <v>541</v>
      </c>
      <c r="D817" s="4" t="s">
        <v>0</v>
      </c>
      <c r="E817" s="4" t="s">
        <v>12</v>
      </c>
      <c r="F817" s="2" t="s">
        <v>0</v>
      </c>
      <c r="G817" s="2" t="str">
        <f t="shared" si="37"/>
        <v>03</v>
      </c>
      <c r="H817" s="3">
        <v>637</v>
      </c>
    </row>
    <row r="818" spans="1:8" x14ac:dyDescent="0.25">
      <c r="A818" s="2" t="str">
        <f>"00026841"</f>
        <v>00026841</v>
      </c>
      <c r="B818" s="2" t="str">
        <f t="shared" si="36"/>
        <v>SG</v>
      </c>
      <c r="C818" s="4" t="s">
        <v>542</v>
      </c>
      <c r="D818" s="4" t="s">
        <v>0</v>
      </c>
      <c r="E818" s="4" t="s">
        <v>12</v>
      </c>
      <c r="F818" s="2" t="s">
        <v>0</v>
      </c>
      <c r="G818" s="2" t="str">
        <f t="shared" si="37"/>
        <v>03</v>
      </c>
      <c r="H818" s="3">
        <v>637</v>
      </c>
    </row>
    <row r="819" spans="1:8" x14ac:dyDescent="0.25">
      <c r="A819" s="2" t="str">
        <f>"00026842"</f>
        <v>00026842</v>
      </c>
      <c r="B819" s="2" t="str">
        <f t="shared" si="36"/>
        <v>SG</v>
      </c>
      <c r="C819" s="4" t="s">
        <v>541</v>
      </c>
      <c r="D819" s="4" t="s">
        <v>0</v>
      </c>
      <c r="E819" s="4" t="s">
        <v>12</v>
      </c>
      <c r="F819" s="2" t="s">
        <v>0</v>
      </c>
      <c r="G819" s="2" t="str">
        <f t="shared" si="37"/>
        <v>03</v>
      </c>
      <c r="H819" s="3">
        <v>637</v>
      </c>
    </row>
    <row r="820" spans="1:8" x14ac:dyDescent="0.25">
      <c r="A820" s="2" t="str">
        <f>"00026843"</f>
        <v>00026843</v>
      </c>
      <c r="B820" s="2" t="str">
        <f t="shared" si="36"/>
        <v>SG</v>
      </c>
      <c r="C820" s="4" t="s">
        <v>543</v>
      </c>
      <c r="D820" s="4" t="s">
        <v>0</v>
      </c>
      <c r="E820" s="4" t="s">
        <v>12</v>
      </c>
      <c r="F820" s="2" t="s">
        <v>0</v>
      </c>
      <c r="G820" s="2" t="str">
        <f t="shared" si="37"/>
        <v>03</v>
      </c>
      <c r="H820" s="3">
        <v>637</v>
      </c>
    </row>
    <row r="821" spans="1:8" ht="29.25" x14ac:dyDescent="0.25">
      <c r="A821" s="2" t="str">
        <f>"00026844"</f>
        <v>00026844</v>
      </c>
      <c r="B821" s="2" t="str">
        <f t="shared" si="36"/>
        <v>SG</v>
      </c>
      <c r="C821" s="4" t="s">
        <v>544</v>
      </c>
      <c r="D821" s="4" t="s">
        <v>0</v>
      </c>
      <c r="E821" s="4" t="s">
        <v>12</v>
      </c>
      <c r="F821" s="2" t="s">
        <v>0</v>
      </c>
      <c r="G821" s="2" t="str">
        <f t="shared" si="37"/>
        <v>03</v>
      </c>
      <c r="H821" s="3">
        <v>637</v>
      </c>
    </row>
    <row r="822" spans="1:8" x14ac:dyDescent="0.25">
      <c r="A822" s="2" t="str">
        <f>"00026850"</f>
        <v>00026850</v>
      </c>
      <c r="B822" s="2" t="str">
        <f t="shared" si="36"/>
        <v>SG</v>
      </c>
      <c r="C822" s="4" t="s">
        <v>545</v>
      </c>
      <c r="D822" s="4" t="s">
        <v>0</v>
      </c>
      <c r="E822" s="4" t="s">
        <v>12</v>
      </c>
      <c r="F822" s="2" t="s">
        <v>0</v>
      </c>
      <c r="G822" s="2" t="str">
        <f t="shared" si="37"/>
        <v>03</v>
      </c>
      <c r="H822" s="3">
        <v>637</v>
      </c>
    </row>
    <row r="823" spans="1:8" ht="29.25" x14ac:dyDescent="0.25">
      <c r="A823" s="2" t="str">
        <f>"00026852"</f>
        <v>00026852</v>
      </c>
      <c r="B823" s="2" t="str">
        <f t="shared" si="36"/>
        <v>SG</v>
      </c>
      <c r="C823" s="4" t="s">
        <v>546</v>
      </c>
      <c r="D823" s="4" t="s">
        <v>0</v>
      </c>
      <c r="E823" s="4" t="s">
        <v>12</v>
      </c>
      <c r="F823" s="2" t="s">
        <v>0</v>
      </c>
      <c r="G823" s="2" t="str">
        <f t="shared" si="37"/>
        <v>03</v>
      </c>
      <c r="H823" s="3">
        <v>637</v>
      </c>
    </row>
    <row r="824" spans="1:8" x14ac:dyDescent="0.25">
      <c r="A824" s="2" t="str">
        <f>"00026860"</f>
        <v>00026860</v>
      </c>
      <c r="B824" s="2" t="str">
        <f t="shared" si="36"/>
        <v>SG</v>
      </c>
      <c r="C824" s="4" t="s">
        <v>547</v>
      </c>
      <c r="D824" s="4" t="s">
        <v>0</v>
      </c>
      <c r="E824" s="4" t="s">
        <v>12</v>
      </c>
      <c r="F824" s="2" t="s">
        <v>0</v>
      </c>
      <c r="G824" s="2" t="str">
        <f t="shared" si="37"/>
        <v>03</v>
      </c>
      <c r="H824" s="3">
        <v>637</v>
      </c>
    </row>
    <row r="825" spans="1:8" ht="29.25" x14ac:dyDescent="0.25">
      <c r="A825" s="2" t="str">
        <f>"00026861"</f>
        <v>00026861</v>
      </c>
      <c r="B825" s="2" t="str">
        <f t="shared" si="36"/>
        <v>SG</v>
      </c>
      <c r="C825" s="4" t="s">
        <v>548</v>
      </c>
      <c r="D825" s="4" t="s">
        <v>0</v>
      </c>
      <c r="E825" s="4" t="s">
        <v>12</v>
      </c>
      <c r="F825" s="2" t="s">
        <v>0</v>
      </c>
      <c r="G825" s="2" t="str">
        <f>"01"</f>
        <v>01</v>
      </c>
      <c r="H825" s="3">
        <v>413</v>
      </c>
    </row>
    <row r="826" spans="1:8" ht="29.25" x14ac:dyDescent="0.25">
      <c r="A826" s="2" t="str">
        <f>"00026862"</f>
        <v>00026862</v>
      </c>
      <c r="B826" s="2" t="str">
        <f t="shared" si="36"/>
        <v>SG</v>
      </c>
      <c r="C826" s="4" t="s">
        <v>549</v>
      </c>
      <c r="D826" s="4" t="s">
        <v>0</v>
      </c>
      <c r="E826" s="4" t="s">
        <v>12</v>
      </c>
      <c r="F826" s="2" t="s">
        <v>0</v>
      </c>
      <c r="G826" s="2" t="str">
        <f>"03"</f>
        <v>03</v>
      </c>
      <c r="H826" s="3">
        <v>637</v>
      </c>
    </row>
    <row r="827" spans="1:8" x14ac:dyDescent="0.25">
      <c r="A827" s="2" t="str">
        <f>"00026863"</f>
        <v>00026863</v>
      </c>
      <c r="B827" s="2" t="str">
        <f t="shared" si="36"/>
        <v>SG</v>
      </c>
      <c r="C827" s="4" t="s">
        <v>550</v>
      </c>
      <c r="D827" s="4" t="s">
        <v>0</v>
      </c>
      <c r="E827" s="4" t="s">
        <v>12</v>
      </c>
      <c r="F827" s="2" t="s">
        <v>0</v>
      </c>
      <c r="G827" s="2" t="str">
        <f>"01"</f>
        <v>01</v>
      </c>
      <c r="H827" s="3">
        <v>413</v>
      </c>
    </row>
    <row r="828" spans="1:8" ht="29.25" x14ac:dyDescent="0.25">
      <c r="A828" s="2" t="str">
        <f>"00026910"</f>
        <v>00026910</v>
      </c>
      <c r="B828" s="2" t="str">
        <f t="shared" si="36"/>
        <v>SG</v>
      </c>
      <c r="C828" s="4" t="s">
        <v>551</v>
      </c>
      <c r="D828" s="4" t="s">
        <v>0</v>
      </c>
      <c r="E828" s="4" t="s">
        <v>12</v>
      </c>
      <c r="F828" s="2" t="s">
        <v>0</v>
      </c>
      <c r="G828" s="2" t="str">
        <f>"03"</f>
        <v>03</v>
      </c>
      <c r="H828" s="3">
        <v>637</v>
      </c>
    </row>
    <row r="829" spans="1:8" ht="29.25" x14ac:dyDescent="0.25">
      <c r="A829" s="2" t="str">
        <f>"00026951"</f>
        <v>00026951</v>
      </c>
      <c r="B829" s="2" t="str">
        <f t="shared" si="36"/>
        <v>SG</v>
      </c>
      <c r="C829" s="4" t="s">
        <v>552</v>
      </c>
      <c r="D829" s="4" t="s">
        <v>0</v>
      </c>
      <c r="E829" s="4" t="s">
        <v>12</v>
      </c>
      <c r="F829" s="2" t="s">
        <v>0</v>
      </c>
      <c r="G829" s="2" t="str">
        <f>"01"</f>
        <v>01</v>
      </c>
      <c r="H829" s="3">
        <v>413</v>
      </c>
    </row>
    <row r="830" spans="1:8" ht="29.25" x14ac:dyDescent="0.25">
      <c r="A830" s="2" t="str">
        <f>"00026952"</f>
        <v>00026952</v>
      </c>
      <c r="B830" s="2" t="str">
        <f t="shared" si="36"/>
        <v>SG</v>
      </c>
      <c r="C830" s="4" t="s">
        <v>552</v>
      </c>
      <c r="D830" s="4" t="s">
        <v>0</v>
      </c>
      <c r="E830" s="4" t="s">
        <v>12</v>
      </c>
      <c r="F830" s="2" t="s">
        <v>0</v>
      </c>
      <c r="G830" s="2" t="str">
        <f>"01"</f>
        <v>01</v>
      </c>
      <c r="H830" s="3">
        <v>413</v>
      </c>
    </row>
    <row r="831" spans="1:8" ht="29.25" x14ac:dyDescent="0.25">
      <c r="A831" s="2" t="str">
        <f>"00026990"</f>
        <v>00026990</v>
      </c>
      <c r="B831" s="2" t="str">
        <f t="shared" si="36"/>
        <v>SG</v>
      </c>
      <c r="C831" s="4" t="s">
        <v>553</v>
      </c>
      <c r="D831" s="4" t="s">
        <v>0</v>
      </c>
      <c r="E831" s="4" t="s">
        <v>12</v>
      </c>
      <c r="F831" s="2" t="s">
        <v>0</v>
      </c>
      <c r="G831" s="2" t="str">
        <f>"02"</f>
        <v>02</v>
      </c>
      <c r="H831" s="3">
        <v>552</v>
      </c>
    </row>
    <row r="832" spans="1:8" ht="29.25" x14ac:dyDescent="0.25">
      <c r="A832" s="2" t="str">
        <f>"00026991"</f>
        <v>00026991</v>
      </c>
      <c r="B832" s="2" t="str">
        <f t="shared" si="36"/>
        <v>SG</v>
      </c>
      <c r="C832" s="4" t="s">
        <v>554</v>
      </c>
      <c r="D832" s="4" t="s">
        <v>0</v>
      </c>
      <c r="E832" s="4" t="s">
        <v>12</v>
      </c>
      <c r="F832" s="2" t="s">
        <v>0</v>
      </c>
      <c r="G832" s="2" t="str">
        <f>"02"</f>
        <v>02</v>
      </c>
      <c r="H832" s="3">
        <v>552</v>
      </c>
    </row>
    <row r="833" spans="1:8" x14ac:dyDescent="0.25">
      <c r="A833" s="2" t="str">
        <f>"00027000"</f>
        <v>00027000</v>
      </c>
      <c r="B833" s="2" t="str">
        <f t="shared" si="36"/>
        <v>SG</v>
      </c>
      <c r="C833" s="4" t="s">
        <v>555</v>
      </c>
      <c r="D833" s="4" t="s">
        <v>0</v>
      </c>
      <c r="E833" s="4" t="s">
        <v>12</v>
      </c>
      <c r="F833" s="2" t="s">
        <v>0</v>
      </c>
      <c r="G833" s="2" t="str">
        <f>"02"</f>
        <v>02</v>
      </c>
      <c r="H833" s="3">
        <v>552</v>
      </c>
    </row>
    <row r="834" spans="1:8" x14ac:dyDescent="0.25">
      <c r="A834" s="2" t="str">
        <f>"00027001"</f>
        <v>00027001</v>
      </c>
      <c r="B834" s="2" t="str">
        <f t="shared" si="36"/>
        <v>SG</v>
      </c>
      <c r="C834" s="4" t="s">
        <v>555</v>
      </c>
      <c r="D834" s="4" t="s">
        <v>0</v>
      </c>
      <c r="E834" s="4" t="s">
        <v>12</v>
      </c>
      <c r="F834" s="2" t="s">
        <v>0</v>
      </c>
      <c r="G834" s="2" t="str">
        <f>"04"</f>
        <v>04</v>
      </c>
      <c r="H834" s="3">
        <v>785</v>
      </c>
    </row>
    <row r="835" spans="1:8" x14ac:dyDescent="0.25">
      <c r="A835" s="2" t="str">
        <f>"00027003"</f>
        <v>00027003</v>
      </c>
      <c r="B835" s="2" t="str">
        <f t="shared" si="36"/>
        <v>SG</v>
      </c>
      <c r="C835" s="4" t="s">
        <v>555</v>
      </c>
      <c r="D835" s="4" t="s">
        <v>0</v>
      </c>
      <c r="E835" s="4" t="s">
        <v>12</v>
      </c>
      <c r="F835" s="2" t="s">
        <v>0</v>
      </c>
      <c r="G835" s="2" t="str">
        <f>"04"</f>
        <v>04</v>
      </c>
      <c r="H835" s="3">
        <v>785</v>
      </c>
    </row>
    <row r="836" spans="1:8" x14ac:dyDescent="0.25">
      <c r="A836" s="2" t="str">
        <f>"00027033"</f>
        <v>00027033</v>
      </c>
      <c r="B836" s="2" t="str">
        <f t="shared" si="36"/>
        <v>SG</v>
      </c>
      <c r="C836" s="4" t="s">
        <v>556</v>
      </c>
      <c r="D836" s="4" t="s">
        <v>0</v>
      </c>
      <c r="E836" s="4" t="s">
        <v>12</v>
      </c>
      <c r="F836" s="2" t="s">
        <v>0</v>
      </c>
      <c r="G836" s="2" t="str">
        <f>"07"</f>
        <v>07</v>
      </c>
      <c r="H836" s="3">
        <v>1233</v>
      </c>
    </row>
    <row r="837" spans="1:8" x14ac:dyDescent="0.25">
      <c r="A837" s="2" t="str">
        <f>"00027035"</f>
        <v>00027035</v>
      </c>
      <c r="B837" s="2" t="str">
        <f t="shared" si="36"/>
        <v>SG</v>
      </c>
      <c r="C837" s="4" t="s">
        <v>557</v>
      </c>
      <c r="D837" s="4" t="s">
        <v>0</v>
      </c>
      <c r="E837" s="4" t="s">
        <v>12</v>
      </c>
      <c r="F837" s="2" t="s">
        <v>0</v>
      </c>
      <c r="G837" s="2" t="str">
        <f>"04"</f>
        <v>04</v>
      </c>
      <c r="H837" s="3">
        <v>785</v>
      </c>
    </row>
    <row r="838" spans="1:8" x14ac:dyDescent="0.25">
      <c r="A838" s="2" t="str">
        <f>"00027040"</f>
        <v>00027040</v>
      </c>
      <c r="B838" s="2" t="str">
        <f t="shared" si="36"/>
        <v>SG</v>
      </c>
      <c r="C838" s="4" t="s">
        <v>558</v>
      </c>
      <c r="D838" s="4" t="s">
        <v>0</v>
      </c>
      <c r="E838" s="4" t="s">
        <v>12</v>
      </c>
      <c r="F838" s="2" t="s">
        <v>0</v>
      </c>
      <c r="G838" s="2" t="str">
        <f>"01"</f>
        <v>01</v>
      </c>
      <c r="H838" s="3">
        <v>413</v>
      </c>
    </row>
    <row r="839" spans="1:8" x14ac:dyDescent="0.25">
      <c r="A839" s="2" t="str">
        <f>"00027041"</f>
        <v>00027041</v>
      </c>
      <c r="B839" s="2" t="str">
        <f t="shared" si="36"/>
        <v>SG</v>
      </c>
      <c r="C839" s="4" t="s">
        <v>558</v>
      </c>
      <c r="D839" s="4" t="s">
        <v>0</v>
      </c>
      <c r="E839" s="4" t="s">
        <v>12</v>
      </c>
      <c r="F839" s="2" t="s">
        <v>0</v>
      </c>
      <c r="G839" s="2" t="str">
        <f>"01"</f>
        <v>01</v>
      </c>
      <c r="H839" s="3">
        <v>413</v>
      </c>
    </row>
    <row r="840" spans="1:8" ht="29.25" x14ac:dyDescent="0.25">
      <c r="A840" s="2" t="str">
        <f>"00027043"</f>
        <v>00027043</v>
      </c>
      <c r="B840" s="2" t="str">
        <f t="shared" si="36"/>
        <v>SG</v>
      </c>
      <c r="C840" s="4" t="s">
        <v>559</v>
      </c>
      <c r="D840" s="4" t="s">
        <v>0</v>
      </c>
      <c r="E840" s="4" t="s">
        <v>12</v>
      </c>
      <c r="F840" s="2" t="s">
        <v>0</v>
      </c>
      <c r="G840" s="2" t="str">
        <f>"04"</f>
        <v>04</v>
      </c>
      <c r="H840" s="3">
        <v>785</v>
      </c>
    </row>
    <row r="841" spans="1:8" ht="29.25" x14ac:dyDescent="0.25">
      <c r="A841" s="2" t="str">
        <f>"00027045"</f>
        <v>00027045</v>
      </c>
      <c r="B841" s="2" t="str">
        <f t="shared" si="36"/>
        <v>SG</v>
      </c>
      <c r="C841" s="4" t="s">
        <v>560</v>
      </c>
      <c r="D841" s="4" t="s">
        <v>0</v>
      </c>
      <c r="E841" s="4" t="s">
        <v>12</v>
      </c>
      <c r="F841" s="2" t="s">
        <v>0</v>
      </c>
      <c r="G841" s="2" t="str">
        <f>"04"</f>
        <v>04</v>
      </c>
      <c r="H841" s="3">
        <v>785</v>
      </c>
    </row>
    <row r="842" spans="1:8" x14ac:dyDescent="0.25">
      <c r="A842" s="2" t="str">
        <f>"00027047"</f>
        <v>00027047</v>
      </c>
      <c r="B842" s="2" t="str">
        <f t="shared" si="36"/>
        <v>SG</v>
      </c>
      <c r="C842" s="4" t="s">
        <v>561</v>
      </c>
      <c r="D842" s="4" t="s">
        <v>0</v>
      </c>
      <c r="E842" s="4" t="s">
        <v>12</v>
      </c>
      <c r="F842" s="2" t="s">
        <v>0</v>
      </c>
      <c r="G842" s="2" t="str">
        <f>"01"</f>
        <v>01</v>
      </c>
      <c r="H842" s="3">
        <v>413</v>
      </c>
    </row>
    <row r="843" spans="1:8" x14ac:dyDescent="0.25">
      <c r="A843" s="2" t="str">
        <f>"00027048"</f>
        <v>00027048</v>
      </c>
      <c r="B843" s="2" t="str">
        <f t="shared" si="36"/>
        <v>SG</v>
      </c>
      <c r="C843" s="4" t="s">
        <v>561</v>
      </c>
      <c r="D843" s="4" t="s">
        <v>0</v>
      </c>
      <c r="E843" s="4" t="s">
        <v>12</v>
      </c>
      <c r="F843" s="2" t="s">
        <v>0</v>
      </c>
      <c r="G843" s="2" t="str">
        <f>"01"</f>
        <v>01</v>
      </c>
      <c r="H843" s="3">
        <v>413</v>
      </c>
    </row>
    <row r="844" spans="1:8" ht="29.25" x14ac:dyDescent="0.25">
      <c r="A844" s="2" t="str">
        <f>"00027049"</f>
        <v>00027049</v>
      </c>
      <c r="B844" s="2" t="str">
        <f t="shared" si="36"/>
        <v>SG</v>
      </c>
      <c r="C844" s="4" t="s">
        <v>562</v>
      </c>
      <c r="D844" s="4" t="s">
        <v>0</v>
      </c>
      <c r="E844" s="4" t="s">
        <v>12</v>
      </c>
      <c r="F844" s="2" t="s">
        <v>0</v>
      </c>
      <c r="G844" s="2" t="str">
        <f>"01"</f>
        <v>01</v>
      </c>
      <c r="H844" s="3">
        <v>413</v>
      </c>
    </row>
    <row r="845" spans="1:8" ht="29.25" x14ac:dyDescent="0.25">
      <c r="A845" s="2" t="str">
        <f>"00027050"</f>
        <v>00027050</v>
      </c>
      <c r="B845" s="2" t="str">
        <f t="shared" ref="B845:B908" si="38">"SG"</f>
        <v>SG</v>
      </c>
      <c r="C845" s="4" t="s">
        <v>563</v>
      </c>
      <c r="D845" s="4" t="s">
        <v>0</v>
      </c>
      <c r="E845" s="4" t="s">
        <v>12</v>
      </c>
      <c r="F845" s="2" t="s">
        <v>0</v>
      </c>
      <c r="G845" s="2" t="str">
        <f t="shared" ref="G845:G850" si="39">"02"</f>
        <v>02</v>
      </c>
      <c r="H845" s="3">
        <v>552</v>
      </c>
    </row>
    <row r="846" spans="1:8" x14ac:dyDescent="0.25">
      <c r="A846" s="2" t="str">
        <f>"00027052"</f>
        <v>00027052</v>
      </c>
      <c r="B846" s="2" t="str">
        <f t="shared" si="38"/>
        <v>SG</v>
      </c>
      <c r="C846" s="4" t="s">
        <v>564</v>
      </c>
      <c r="D846" s="4" t="s">
        <v>0</v>
      </c>
      <c r="E846" s="4" t="s">
        <v>12</v>
      </c>
      <c r="F846" s="2" t="s">
        <v>0</v>
      </c>
      <c r="G846" s="2" t="str">
        <f t="shared" si="39"/>
        <v>02</v>
      </c>
      <c r="H846" s="3">
        <v>552</v>
      </c>
    </row>
    <row r="847" spans="1:8" ht="43.5" x14ac:dyDescent="0.25">
      <c r="A847" s="2" t="str">
        <f>"00027059"</f>
        <v>00027059</v>
      </c>
      <c r="B847" s="2" t="str">
        <f t="shared" si="38"/>
        <v>SG</v>
      </c>
      <c r="C847" s="4" t="s">
        <v>565</v>
      </c>
      <c r="D847" s="4" t="s">
        <v>0</v>
      </c>
      <c r="E847" s="4" t="s">
        <v>12</v>
      </c>
      <c r="F847" s="2" t="s">
        <v>0</v>
      </c>
      <c r="G847" s="2" t="str">
        <f t="shared" si="39"/>
        <v>02</v>
      </c>
      <c r="H847" s="3">
        <v>552</v>
      </c>
    </row>
    <row r="848" spans="1:8" ht="29.25" x14ac:dyDescent="0.25">
      <c r="A848" s="2" t="str">
        <f>"00027060"</f>
        <v>00027060</v>
      </c>
      <c r="B848" s="2" t="str">
        <f t="shared" si="38"/>
        <v>SG</v>
      </c>
      <c r="C848" s="4" t="s">
        <v>566</v>
      </c>
      <c r="D848" s="4" t="s">
        <v>0</v>
      </c>
      <c r="E848" s="4" t="s">
        <v>12</v>
      </c>
      <c r="F848" s="2" t="s">
        <v>0</v>
      </c>
      <c r="G848" s="2" t="str">
        <f t="shared" si="39"/>
        <v>02</v>
      </c>
      <c r="H848" s="3">
        <v>552</v>
      </c>
    </row>
    <row r="849" spans="1:8" ht="29.25" x14ac:dyDescent="0.25">
      <c r="A849" s="2" t="str">
        <f>"00027062"</f>
        <v>00027062</v>
      </c>
      <c r="B849" s="2" t="str">
        <f t="shared" si="38"/>
        <v>SG</v>
      </c>
      <c r="C849" s="4" t="s">
        <v>567</v>
      </c>
      <c r="D849" s="4" t="s">
        <v>0</v>
      </c>
      <c r="E849" s="4" t="s">
        <v>12</v>
      </c>
      <c r="F849" s="2" t="s">
        <v>0</v>
      </c>
      <c r="G849" s="2" t="str">
        <f t="shared" si="39"/>
        <v>02</v>
      </c>
      <c r="H849" s="3">
        <v>552</v>
      </c>
    </row>
    <row r="850" spans="1:8" ht="29.25" x14ac:dyDescent="0.25">
      <c r="A850" s="2" t="str">
        <f>"00027065"</f>
        <v>00027065</v>
      </c>
      <c r="B850" s="2" t="str">
        <f t="shared" si="38"/>
        <v>SG</v>
      </c>
      <c r="C850" s="4" t="s">
        <v>568</v>
      </c>
      <c r="D850" s="4" t="s">
        <v>0</v>
      </c>
      <c r="E850" s="4" t="s">
        <v>12</v>
      </c>
      <c r="F850" s="2" t="s">
        <v>0</v>
      </c>
      <c r="G850" s="2" t="str">
        <f t="shared" si="39"/>
        <v>02</v>
      </c>
      <c r="H850" s="3">
        <v>552</v>
      </c>
    </row>
    <row r="851" spans="1:8" ht="29.25" x14ac:dyDescent="0.25">
      <c r="A851" s="2" t="str">
        <f>"00027066"</f>
        <v>00027066</v>
      </c>
      <c r="B851" s="2" t="str">
        <f t="shared" si="38"/>
        <v>SG</v>
      </c>
      <c r="C851" s="4" t="s">
        <v>568</v>
      </c>
      <c r="D851" s="4" t="s">
        <v>0</v>
      </c>
      <c r="E851" s="4" t="s">
        <v>12</v>
      </c>
      <c r="F851" s="2" t="s">
        <v>0</v>
      </c>
      <c r="G851" s="2" t="str">
        <f>"04"</f>
        <v>04</v>
      </c>
      <c r="H851" s="3">
        <v>785</v>
      </c>
    </row>
    <row r="852" spans="1:8" ht="29.25" x14ac:dyDescent="0.25">
      <c r="A852" s="2" t="str">
        <f>"00027067"</f>
        <v>00027067</v>
      </c>
      <c r="B852" s="2" t="str">
        <f t="shared" si="38"/>
        <v>SG</v>
      </c>
      <c r="C852" s="4" t="s">
        <v>569</v>
      </c>
      <c r="D852" s="4" t="s">
        <v>0</v>
      </c>
      <c r="E852" s="4" t="s">
        <v>12</v>
      </c>
      <c r="F852" s="2" t="s">
        <v>0</v>
      </c>
      <c r="G852" s="2" t="str">
        <f>"04"</f>
        <v>04</v>
      </c>
      <c r="H852" s="3">
        <v>785</v>
      </c>
    </row>
    <row r="853" spans="1:8" x14ac:dyDescent="0.25">
      <c r="A853" s="2" t="str">
        <f>"00027080"</f>
        <v>00027080</v>
      </c>
      <c r="B853" s="2" t="str">
        <f t="shared" si="38"/>
        <v>SG</v>
      </c>
      <c r="C853" s="4" t="s">
        <v>570</v>
      </c>
      <c r="D853" s="4" t="s">
        <v>0</v>
      </c>
      <c r="E853" s="4" t="s">
        <v>12</v>
      </c>
      <c r="F853" s="2" t="s">
        <v>0</v>
      </c>
      <c r="G853" s="2" t="str">
        <f>"04"</f>
        <v>04</v>
      </c>
      <c r="H853" s="3">
        <v>785</v>
      </c>
    </row>
    <row r="854" spans="1:8" ht="29.25" x14ac:dyDescent="0.25">
      <c r="A854" s="2" t="str">
        <f>"00027086"</f>
        <v>00027086</v>
      </c>
      <c r="B854" s="2" t="str">
        <f t="shared" si="38"/>
        <v>SG</v>
      </c>
      <c r="C854" s="4" t="s">
        <v>571</v>
      </c>
      <c r="D854" s="4" t="s">
        <v>0</v>
      </c>
      <c r="E854" s="4" t="s">
        <v>12</v>
      </c>
      <c r="F854" s="2" t="s">
        <v>0</v>
      </c>
      <c r="G854" s="2" t="str">
        <f>"01"</f>
        <v>01</v>
      </c>
      <c r="H854" s="3">
        <v>413</v>
      </c>
    </row>
    <row r="855" spans="1:8" ht="29.25" x14ac:dyDescent="0.25">
      <c r="A855" s="2" t="str">
        <f>"00027087"</f>
        <v>00027087</v>
      </c>
      <c r="B855" s="2" t="str">
        <f t="shared" si="38"/>
        <v>SG</v>
      </c>
      <c r="C855" s="4" t="s">
        <v>571</v>
      </c>
      <c r="D855" s="4" t="s">
        <v>0</v>
      </c>
      <c r="E855" s="4" t="s">
        <v>12</v>
      </c>
      <c r="F855" s="2" t="s">
        <v>0</v>
      </c>
      <c r="G855" s="2" t="str">
        <f>"02"</f>
        <v>02</v>
      </c>
      <c r="H855" s="3">
        <v>552</v>
      </c>
    </row>
    <row r="856" spans="1:8" x14ac:dyDescent="0.25">
      <c r="A856" s="2" t="str">
        <f>"00027097"</f>
        <v>00027097</v>
      </c>
      <c r="B856" s="2" t="str">
        <f t="shared" si="38"/>
        <v>SG</v>
      </c>
      <c r="C856" s="4" t="s">
        <v>572</v>
      </c>
      <c r="D856" s="4" t="s">
        <v>0</v>
      </c>
      <c r="E856" s="4" t="s">
        <v>12</v>
      </c>
      <c r="F856" s="2" t="s">
        <v>0</v>
      </c>
      <c r="G856" s="2" t="str">
        <f>"04"</f>
        <v>04</v>
      </c>
      <c r="H856" s="3">
        <v>785</v>
      </c>
    </row>
    <row r="857" spans="1:8" ht="29.25" x14ac:dyDescent="0.25">
      <c r="A857" s="2" t="str">
        <f>"00027098"</f>
        <v>00027098</v>
      </c>
      <c r="B857" s="2" t="str">
        <f t="shared" si="38"/>
        <v>SG</v>
      </c>
      <c r="C857" s="4" t="s">
        <v>573</v>
      </c>
      <c r="D857" s="4" t="s">
        <v>0</v>
      </c>
      <c r="E857" s="4" t="s">
        <v>12</v>
      </c>
      <c r="F857" s="2" t="s">
        <v>0</v>
      </c>
      <c r="G857" s="2" t="str">
        <f>"04"</f>
        <v>04</v>
      </c>
      <c r="H857" s="3">
        <v>785</v>
      </c>
    </row>
    <row r="858" spans="1:8" ht="29.25" x14ac:dyDescent="0.25">
      <c r="A858" s="2" t="str">
        <f>"00027100"</f>
        <v>00027100</v>
      </c>
      <c r="B858" s="2" t="str">
        <f t="shared" si="38"/>
        <v>SG</v>
      </c>
      <c r="C858" s="4" t="s">
        <v>574</v>
      </c>
      <c r="D858" s="4" t="s">
        <v>0</v>
      </c>
      <c r="E858" s="4" t="s">
        <v>12</v>
      </c>
      <c r="F858" s="2" t="s">
        <v>0</v>
      </c>
      <c r="G858" s="2" t="str">
        <f>"07"</f>
        <v>07</v>
      </c>
      <c r="H858" s="3">
        <v>1233</v>
      </c>
    </row>
    <row r="859" spans="1:8" ht="29.25" x14ac:dyDescent="0.25">
      <c r="A859" s="2" t="str">
        <f>"00027105"</f>
        <v>00027105</v>
      </c>
      <c r="B859" s="2" t="str">
        <f t="shared" si="38"/>
        <v>SG</v>
      </c>
      <c r="C859" s="4" t="s">
        <v>575</v>
      </c>
      <c r="D859" s="4" t="s">
        <v>0</v>
      </c>
      <c r="E859" s="4" t="s">
        <v>12</v>
      </c>
      <c r="F859" s="2" t="s">
        <v>0</v>
      </c>
      <c r="G859" s="2" t="str">
        <f>"07"</f>
        <v>07</v>
      </c>
      <c r="H859" s="3">
        <v>1233</v>
      </c>
    </row>
    <row r="860" spans="1:8" ht="29.25" x14ac:dyDescent="0.25">
      <c r="A860" s="2" t="str">
        <f>"00027110"</f>
        <v>00027110</v>
      </c>
      <c r="B860" s="2" t="str">
        <f t="shared" si="38"/>
        <v>SG</v>
      </c>
      <c r="C860" s="4" t="s">
        <v>576</v>
      </c>
      <c r="D860" s="4" t="s">
        <v>0</v>
      </c>
      <c r="E860" s="4" t="s">
        <v>12</v>
      </c>
      <c r="F860" s="2" t="s">
        <v>0</v>
      </c>
      <c r="G860" s="2" t="str">
        <f>"07"</f>
        <v>07</v>
      </c>
      <c r="H860" s="3">
        <v>1233</v>
      </c>
    </row>
    <row r="861" spans="1:8" ht="29.25" x14ac:dyDescent="0.25">
      <c r="A861" s="2" t="str">
        <f>"00027111"</f>
        <v>00027111</v>
      </c>
      <c r="B861" s="2" t="str">
        <f t="shared" si="38"/>
        <v>SG</v>
      </c>
      <c r="C861" s="4" t="s">
        <v>576</v>
      </c>
      <c r="D861" s="4" t="s">
        <v>0</v>
      </c>
      <c r="E861" s="4" t="s">
        <v>12</v>
      </c>
      <c r="F861" s="2" t="s">
        <v>0</v>
      </c>
      <c r="G861" s="2" t="str">
        <f>"07"</f>
        <v>07</v>
      </c>
      <c r="H861" s="3">
        <v>1233</v>
      </c>
    </row>
    <row r="862" spans="1:8" ht="43.5" x14ac:dyDescent="0.25">
      <c r="A862" s="2" t="str">
        <f>"00027197"</f>
        <v>00027197</v>
      </c>
      <c r="B862" s="2" t="str">
        <f t="shared" si="38"/>
        <v>SG</v>
      </c>
      <c r="C862" s="4" t="s">
        <v>577</v>
      </c>
      <c r="D862" s="4" t="s">
        <v>0</v>
      </c>
      <c r="E862" s="4" t="s">
        <v>12</v>
      </c>
      <c r="F862" s="2" t="s">
        <v>0</v>
      </c>
      <c r="G862" s="2" t="str">
        <f>"01"</f>
        <v>01</v>
      </c>
      <c r="H862" s="3">
        <v>413</v>
      </c>
    </row>
    <row r="863" spans="1:8" ht="43.5" x14ac:dyDescent="0.25">
      <c r="A863" s="2" t="str">
        <f>"00027198"</f>
        <v>00027198</v>
      </c>
      <c r="B863" s="2" t="str">
        <f t="shared" si="38"/>
        <v>SG</v>
      </c>
      <c r="C863" s="4" t="s">
        <v>577</v>
      </c>
      <c r="D863" s="4" t="s">
        <v>0</v>
      </c>
      <c r="E863" s="4" t="s">
        <v>12</v>
      </c>
      <c r="F863" s="2" t="s">
        <v>0</v>
      </c>
      <c r="G863" s="2" t="str">
        <f>"01"</f>
        <v>01</v>
      </c>
      <c r="H863" s="3">
        <v>413</v>
      </c>
    </row>
    <row r="864" spans="1:8" ht="29.25" x14ac:dyDescent="0.25">
      <c r="A864" s="2" t="str">
        <f>"00027202"</f>
        <v>00027202</v>
      </c>
      <c r="B864" s="2" t="str">
        <f t="shared" si="38"/>
        <v>SG</v>
      </c>
      <c r="C864" s="4" t="s">
        <v>578</v>
      </c>
      <c r="D864" s="4" t="s">
        <v>0</v>
      </c>
      <c r="E864" s="4" t="s">
        <v>12</v>
      </c>
      <c r="F864" s="2" t="s">
        <v>0</v>
      </c>
      <c r="G864" s="2" t="str">
        <f>"08"</f>
        <v>08</v>
      </c>
      <c r="H864" s="3">
        <v>1183</v>
      </c>
    </row>
    <row r="865" spans="1:8" x14ac:dyDescent="0.25">
      <c r="A865" s="2" t="str">
        <f>"00027230"</f>
        <v>00027230</v>
      </c>
      <c r="B865" s="2" t="str">
        <f t="shared" si="38"/>
        <v>SG</v>
      </c>
      <c r="C865" s="4" t="s">
        <v>579</v>
      </c>
      <c r="D865" s="4" t="s">
        <v>0</v>
      </c>
      <c r="E865" s="4" t="s">
        <v>12</v>
      </c>
      <c r="F865" s="2" t="s">
        <v>0</v>
      </c>
      <c r="G865" s="2" t="str">
        <f t="shared" ref="G865:G874" si="40">"01"</f>
        <v>01</v>
      </c>
      <c r="H865" s="3">
        <v>413</v>
      </c>
    </row>
    <row r="866" spans="1:8" x14ac:dyDescent="0.25">
      <c r="A866" s="2" t="str">
        <f>"00027238"</f>
        <v>00027238</v>
      </c>
      <c r="B866" s="2" t="str">
        <f t="shared" si="38"/>
        <v>SG</v>
      </c>
      <c r="C866" s="4" t="s">
        <v>579</v>
      </c>
      <c r="D866" s="4" t="s">
        <v>0</v>
      </c>
      <c r="E866" s="4" t="s">
        <v>12</v>
      </c>
      <c r="F866" s="2" t="s">
        <v>0</v>
      </c>
      <c r="G866" s="2" t="str">
        <f t="shared" si="40"/>
        <v>01</v>
      </c>
      <c r="H866" s="3">
        <v>413</v>
      </c>
    </row>
    <row r="867" spans="1:8" x14ac:dyDescent="0.25">
      <c r="A867" s="2" t="str">
        <f>"00027246"</f>
        <v>00027246</v>
      </c>
      <c r="B867" s="2" t="str">
        <f t="shared" si="38"/>
        <v>SG</v>
      </c>
      <c r="C867" s="4" t="s">
        <v>579</v>
      </c>
      <c r="D867" s="4" t="s">
        <v>0</v>
      </c>
      <c r="E867" s="4" t="s">
        <v>12</v>
      </c>
      <c r="F867" s="2" t="s">
        <v>0</v>
      </c>
      <c r="G867" s="2" t="str">
        <f t="shared" si="40"/>
        <v>01</v>
      </c>
      <c r="H867" s="3">
        <v>413</v>
      </c>
    </row>
    <row r="868" spans="1:8" x14ac:dyDescent="0.25">
      <c r="A868" s="2" t="str">
        <f>"00027250"</f>
        <v>00027250</v>
      </c>
      <c r="B868" s="2" t="str">
        <f t="shared" si="38"/>
        <v>SG</v>
      </c>
      <c r="C868" s="4" t="s">
        <v>580</v>
      </c>
      <c r="D868" s="4" t="s">
        <v>0</v>
      </c>
      <c r="E868" s="4" t="s">
        <v>12</v>
      </c>
      <c r="F868" s="2" t="s">
        <v>0</v>
      </c>
      <c r="G868" s="2" t="str">
        <f t="shared" si="40"/>
        <v>01</v>
      </c>
      <c r="H868" s="3">
        <v>413</v>
      </c>
    </row>
    <row r="869" spans="1:8" x14ac:dyDescent="0.25">
      <c r="A869" s="2" t="str">
        <f>"00027252"</f>
        <v>00027252</v>
      </c>
      <c r="B869" s="2" t="str">
        <f t="shared" si="38"/>
        <v>SG</v>
      </c>
      <c r="C869" s="4" t="s">
        <v>580</v>
      </c>
      <c r="D869" s="4" t="s">
        <v>0</v>
      </c>
      <c r="E869" s="4" t="s">
        <v>12</v>
      </c>
      <c r="F869" s="2" t="s">
        <v>0</v>
      </c>
      <c r="G869" s="2" t="str">
        <f t="shared" si="40"/>
        <v>01</v>
      </c>
      <c r="H869" s="3">
        <v>413</v>
      </c>
    </row>
    <row r="870" spans="1:8" x14ac:dyDescent="0.25">
      <c r="A870" s="2" t="str">
        <f>"00027257"</f>
        <v>00027257</v>
      </c>
      <c r="B870" s="2" t="str">
        <f t="shared" si="38"/>
        <v>SG</v>
      </c>
      <c r="C870" s="4" t="s">
        <v>580</v>
      </c>
      <c r="D870" s="4" t="s">
        <v>0</v>
      </c>
      <c r="E870" s="4" t="s">
        <v>12</v>
      </c>
      <c r="F870" s="2" t="s">
        <v>0</v>
      </c>
      <c r="G870" s="2" t="str">
        <f t="shared" si="40"/>
        <v>01</v>
      </c>
      <c r="H870" s="3">
        <v>413</v>
      </c>
    </row>
    <row r="871" spans="1:8" x14ac:dyDescent="0.25">
      <c r="A871" s="2" t="str">
        <f>"00027265"</f>
        <v>00027265</v>
      </c>
      <c r="B871" s="2" t="str">
        <f t="shared" si="38"/>
        <v>SG</v>
      </c>
      <c r="C871" s="4" t="s">
        <v>580</v>
      </c>
      <c r="D871" s="4" t="s">
        <v>0</v>
      </c>
      <c r="E871" s="4" t="s">
        <v>12</v>
      </c>
      <c r="F871" s="2" t="s">
        <v>0</v>
      </c>
      <c r="G871" s="2" t="str">
        <f t="shared" si="40"/>
        <v>01</v>
      </c>
      <c r="H871" s="3">
        <v>413</v>
      </c>
    </row>
    <row r="872" spans="1:8" x14ac:dyDescent="0.25">
      <c r="A872" s="2" t="str">
        <f>"00027266"</f>
        <v>00027266</v>
      </c>
      <c r="B872" s="2" t="str">
        <f t="shared" si="38"/>
        <v>SG</v>
      </c>
      <c r="C872" s="4" t="s">
        <v>580</v>
      </c>
      <c r="D872" s="4" t="s">
        <v>0</v>
      </c>
      <c r="E872" s="4" t="s">
        <v>12</v>
      </c>
      <c r="F872" s="2" t="s">
        <v>0</v>
      </c>
      <c r="G872" s="2" t="str">
        <f t="shared" si="40"/>
        <v>01</v>
      </c>
      <c r="H872" s="3">
        <v>413</v>
      </c>
    </row>
    <row r="873" spans="1:8" x14ac:dyDescent="0.25">
      <c r="A873" s="2" t="str">
        <f>"00027275"</f>
        <v>00027275</v>
      </c>
      <c r="B873" s="2" t="str">
        <f t="shared" si="38"/>
        <v>SG</v>
      </c>
      <c r="C873" s="4" t="s">
        <v>581</v>
      </c>
      <c r="D873" s="4" t="s">
        <v>0</v>
      </c>
      <c r="E873" s="4" t="s">
        <v>12</v>
      </c>
      <c r="F873" s="2" t="s">
        <v>0</v>
      </c>
      <c r="G873" s="2" t="str">
        <f t="shared" si="40"/>
        <v>01</v>
      </c>
      <c r="H873" s="3">
        <v>413</v>
      </c>
    </row>
    <row r="874" spans="1:8" x14ac:dyDescent="0.25">
      <c r="A874" s="2" t="str">
        <f>"00027301"</f>
        <v>00027301</v>
      </c>
      <c r="B874" s="2" t="str">
        <f t="shared" si="38"/>
        <v>SG</v>
      </c>
      <c r="C874" s="4" t="s">
        <v>582</v>
      </c>
      <c r="D874" s="4" t="s">
        <v>0</v>
      </c>
      <c r="E874" s="4" t="s">
        <v>12</v>
      </c>
      <c r="F874" s="2" t="s">
        <v>0</v>
      </c>
      <c r="G874" s="2" t="str">
        <f t="shared" si="40"/>
        <v>01</v>
      </c>
      <c r="H874" s="3">
        <v>413</v>
      </c>
    </row>
    <row r="875" spans="1:8" ht="29.25" x14ac:dyDescent="0.25">
      <c r="A875" s="2" t="str">
        <f>"00027305"</f>
        <v>00027305</v>
      </c>
      <c r="B875" s="2" t="str">
        <f t="shared" si="38"/>
        <v>SG</v>
      </c>
      <c r="C875" s="4" t="s">
        <v>583</v>
      </c>
      <c r="D875" s="4" t="s">
        <v>0</v>
      </c>
      <c r="E875" s="4" t="s">
        <v>12</v>
      </c>
      <c r="F875" s="2" t="s">
        <v>0</v>
      </c>
      <c r="G875" s="2" t="str">
        <f>"02"</f>
        <v>02</v>
      </c>
      <c r="H875" s="3">
        <v>552</v>
      </c>
    </row>
    <row r="876" spans="1:8" x14ac:dyDescent="0.25">
      <c r="A876" s="2" t="str">
        <f>"00027306"</f>
        <v>00027306</v>
      </c>
      <c r="B876" s="2" t="str">
        <f t="shared" si="38"/>
        <v>SG</v>
      </c>
      <c r="C876" s="4" t="s">
        <v>584</v>
      </c>
      <c r="D876" s="4" t="s">
        <v>0</v>
      </c>
      <c r="E876" s="4" t="s">
        <v>12</v>
      </c>
      <c r="F876" s="2" t="s">
        <v>0</v>
      </c>
      <c r="G876" s="2" t="str">
        <f>"02"</f>
        <v>02</v>
      </c>
      <c r="H876" s="3">
        <v>552</v>
      </c>
    </row>
    <row r="877" spans="1:8" ht="29.25" x14ac:dyDescent="0.25">
      <c r="A877" s="2" t="str">
        <f>"00027307"</f>
        <v>00027307</v>
      </c>
      <c r="B877" s="2" t="str">
        <f t="shared" si="38"/>
        <v>SG</v>
      </c>
      <c r="C877" s="4" t="s">
        <v>585</v>
      </c>
      <c r="D877" s="4" t="s">
        <v>0</v>
      </c>
      <c r="E877" s="4" t="s">
        <v>12</v>
      </c>
      <c r="F877" s="2" t="s">
        <v>0</v>
      </c>
      <c r="G877" s="2" t="str">
        <f>"04"</f>
        <v>04</v>
      </c>
      <c r="H877" s="3">
        <v>785</v>
      </c>
    </row>
    <row r="878" spans="1:8" ht="29.25" x14ac:dyDescent="0.25">
      <c r="A878" s="2" t="str">
        <f>"00027310"</f>
        <v>00027310</v>
      </c>
      <c r="B878" s="2" t="str">
        <f t="shared" si="38"/>
        <v>SG</v>
      </c>
      <c r="C878" s="4" t="s">
        <v>586</v>
      </c>
      <c r="D878" s="4" t="s">
        <v>0</v>
      </c>
      <c r="E878" s="4" t="s">
        <v>12</v>
      </c>
      <c r="F878" s="2" t="s">
        <v>0</v>
      </c>
      <c r="G878" s="2" t="str">
        <f>"04"</f>
        <v>04</v>
      </c>
      <c r="H878" s="3">
        <v>785</v>
      </c>
    </row>
    <row r="879" spans="1:8" ht="29.25" x14ac:dyDescent="0.25">
      <c r="A879" s="2" t="str">
        <f>"00027323"</f>
        <v>00027323</v>
      </c>
      <c r="B879" s="2" t="str">
        <f t="shared" si="38"/>
        <v>SG</v>
      </c>
      <c r="C879" s="4" t="s">
        <v>587</v>
      </c>
      <c r="D879" s="4" t="s">
        <v>0</v>
      </c>
      <c r="E879" s="4" t="s">
        <v>12</v>
      </c>
      <c r="F879" s="2" t="s">
        <v>0</v>
      </c>
      <c r="G879" s="2" t="str">
        <f>"01"</f>
        <v>01</v>
      </c>
      <c r="H879" s="3">
        <v>413</v>
      </c>
    </row>
    <row r="880" spans="1:8" ht="29.25" x14ac:dyDescent="0.25">
      <c r="A880" s="2" t="str">
        <f>"00027324"</f>
        <v>00027324</v>
      </c>
      <c r="B880" s="2" t="str">
        <f t="shared" si="38"/>
        <v>SG</v>
      </c>
      <c r="C880" s="4" t="s">
        <v>587</v>
      </c>
      <c r="D880" s="4" t="s">
        <v>0</v>
      </c>
      <c r="E880" s="4" t="s">
        <v>12</v>
      </c>
      <c r="F880" s="2" t="s">
        <v>0</v>
      </c>
      <c r="G880" s="2" t="str">
        <f>"02"</f>
        <v>02</v>
      </c>
      <c r="H880" s="3">
        <v>552</v>
      </c>
    </row>
    <row r="881" spans="1:8" x14ac:dyDescent="0.25">
      <c r="A881" s="2" t="str">
        <f>"00027325"</f>
        <v>00027325</v>
      </c>
      <c r="B881" s="2" t="str">
        <f t="shared" si="38"/>
        <v>SG</v>
      </c>
      <c r="C881" s="4" t="s">
        <v>588</v>
      </c>
      <c r="D881" s="4" t="s">
        <v>0</v>
      </c>
      <c r="E881" s="4" t="s">
        <v>12</v>
      </c>
      <c r="F881" s="2" t="s">
        <v>0</v>
      </c>
      <c r="G881" s="2" t="str">
        <f>"01"</f>
        <v>01</v>
      </c>
      <c r="H881" s="3">
        <v>413</v>
      </c>
    </row>
    <row r="882" spans="1:8" x14ac:dyDescent="0.25">
      <c r="A882" s="2" t="str">
        <f>"00027326"</f>
        <v>00027326</v>
      </c>
      <c r="B882" s="2" t="str">
        <f t="shared" si="38"/>
        <v>SG</v>
      </c>
      <c r="C882" s="4" t="s">
        <v>589</v>
      </c>
      <c r="D882" s="4" t="s">
        <v>0</v>
      </c>
      <c r="E882" s="4" t="s">
        <v>12</v>
      </c>
      <c r="F882" s="2" t="s">
        <v>0</v>
      </c>
      <c r="G882" s="2" t="str">
        <f>"01"</f>
        <v>01</v>
      </c>
      <c r="H882" s="3">
        <v>413</v>
      </c>
    </row>
    <row r="883" spans="1:8" x14ac:dyDescent="0.25">
      <c r="A883" s="2" t="str">
        <f>"00027327"</f>
        <v>00027327</v>
      </c>
      <c r="B883" s="2" t="str">
        <f t="shared" si="38"/>
        <v>SG</v>
      </c>
      <c r="C883" s="4" t="s">
        <v>590</v>
      </c>
      <c r="D883" s="4" t="s">
        <v>0</v>
      </c>
      <c r="E883" s="4" t="s">
        <v>12</v>
      </c>
      <c r="F883" s="2" t="s">
        <v>0</v>
      </c>
      <c r="G883" s="2" t="str">
        <f>"02"</f>
        <v>02</v>
      </c>
      <c r="H883" s="3">
        <v>552</v>
      </c>
    </row>
    <row r="884" spans="1:8" x14ac:dyDescent="0.25">
      <c r="A884" s="2" t="str">
        <f>"00027328"</f>
        <v>00027328</v>
      </c>
      <c r="B884" s="2" t="str">
        <f t="shared" si="38"/>
        <v>SG</v>
      </c>
      <c r="C884" s="4" t="s">
        <v>590</v>
      </c>
      <c r="D884" s="4" t="s">
        <v>0</v>
      </c>
      <c r="E884" s="4" t="s">
        <v>12</v>
      </c>
      <c r="F884" s="2" t="s">
        <v>0</v>
      </c>
      <c r="G884" s="2" t="str">
        <f>"01"</f>
        <v>01</v>
      </c>
      <c r="H884" s="3">
        <v>413</v>
      </c>
    </row>
    <row r="885" spans="1:8" ht="29.25" x14ac:dyDescent="0.25">
      <c r="A885" s="2" t="str">
        <f>"00027329"</f>
        <v>00027329</v>
      </c>
      <c r="B885" s="2" t="str">
        <f t="shared" si="38"/>
        <v>SG</v>
      </c>
      <c r="C885" s="4" t="s">
        <v>591</v>
      </c>
      <c r="D885" s="4" t="s">
        <v>0</v>
      </c>
      <c r="E885" s="4" t="s">
        <v>12</v>
      </c>
      <c r="F885" s="2" t="s">
        <v>0</v>
      </c>
      <c r="G885" s="2" t="str">
        <f>"01"</f>
        <v>01</v>
      </c>
      <c r="H885" s="3">
        <v>413</v>
      </c>
    </row>
    <row r="886" spans="1:8" x14ac:dyDescent="0.25">
      <c r="A886" s="2" t="str">
        <f>"00027330"</f>
        <v>00027330</v>
      </c>
      <c r="B886" s="2" t="str">
        <f t="shared" si="38"/>
        <v>SG</v>
      </c>
      <c r="C886" s="4" t="s">
        <v>592</v>
      </c>
      <c r="D886" s="4" t="s">
        <v>0</v>
      </c>
      <c r="E886" s="4" t="s">
        <v>12</v>
      </c>
      <c r="F886" s="2" t="s">
        <v>0</v>
      </c>
      <c r="G886" s="2" t="str">
        <f t="shared" ref="G886:G891" si="41">"04"</f>
        <v>04</v>
      </c>
      <c r="H886" s="3">
        <v>785</v>
      </c>
    </row>
    <row r="887" spans="1:8" ht="29.25" x14ac:dyDescent="0.25">
      <c r="A887" s="2" t="str">
        <f>"00027331"</f>
        <v>00027331</v>
      </c>
      <c r="B887" s="2" t="str">
        <f t="shared" si="38"/>
        <v>SG</v>
      </c>
      <c r="C887" s="4" t="s">
        <v>593</v>
      </c>
      <c r="D887" s="4" t="s">
        <v>0</v>
      </c>
      <c r="E887" s="4" t="s">
        <v>12</v>
      </c>
      <c r="F887" s="2" t="s">
        <v>0</v>
      </c>
      <c r="G887" s="2" t="str">
        <f t="shared" si="41"/>
        <v>04</v>
      </c>
      <c r="H887" s="3">
        <v>785</v>
      </c>
    </row>
    <row r="888" spans="1:8" ht="29.25" x14ac:dyDescent="0.25">
      <c r="A888" s="2" t="str">
        <f>"00027332"</f>
        <v>00027332</v>
      </c>
      <c r="B888" s="2" t="str">
        <f t="shared" si="38"/>
        <v>SG</v>
      </c>
      <c r="C888" s="4" t="s">
        <v>594</v>
      </c>
      <c r="D888" s="4" t="s">
        <v>0</v>
      </c>
      <c r="E888" s="4" t="s">
        <v>12</v>
      </c>
      <c r="F888" s="2" t="s">
        <v>0</v>
      </c>
      <c r="G888" s="2" t="str">
        <f t="shared" si="41"/>
        <v>04</v>
      </c>
      <c r="H888" s="3">
        <v>785</v>
      </c>
    </row>
    <row r="889" spans="1:8" ht="29.25" x14ac:dyDescent="0.25">
      <c r="A889" s="2" t="str">
        <f>"00027333"</f>
        <v>00027333</v>
      </c>
      <c r="B889" s="2" t="str">
        <f t="shared" si="38"/>
        <v>SG</v>
      </c>
      <c r="C889" s="4" t="s">
        <v>594</v>
      </c>
      <c r="D889" s="4" t="s">
        <v>0</v>
      </c>
      <c r="E889" s="4" t="s">
        <v>12</v>
      </c>
      <c r="F889" s="2" t="s">
        <v>0</v>
      </c>
      <c r="G889" s="2" t="str">
        <f t="shared" si="41"/>
        <v>04</v>
      </c>
      <c r="H889" s="3">
        <v>785</v>
      </c>
    </row>
    <row r="890" spans="1:8" x14ac:dyDescent="0.25">
      <c r="A890" s="2" t="str">
        <f>"00027334"</f>
        <v>00027334</v>
      </c>
      <c r="B890" s="2" t="str">
        <f t="shared" si="38"/>
        <v>SG</v>
      </c>
      <c r="C890" s="4" t="s">
        <v>595</v>
      </c>
      <c r="D890" s="4" t="s">
        <v>0</v>
      </c>
      <c r="E890" s="4" t="s">
        <v>12</v>
      </c>
      <c r="F890" s="2" t="s">
        <v>0</v>
      </c>
      <c r="G890" s="2" t="str">
        <f t="shared" si="41"/>
        <v>04</v>
      </c>
      <c r="H890" s="3">
        <v>785</v>
      </c>
    </row>
    <row r="891" spans="1:8" x14ac:dyDescent="0.25">
      <c r="A891" s="2" t="str">
        <f>"00027335"</f>
        <v>00027335</v>
      </c>
      <c r="B891" s="2" t="str">
        <f t="shared" si="38"/>
        <v>SG</v>
      </c>
      <c r="C891" s="4" t="s">
        <v>595</v>
      </c>
      <c r="D891" s="4" t="s">
        <v>0</v>
      </c>
      <c r="E891" s="4" t="s">
        <v>12</v>
      </c>
      <c r="F891" s="2" t="s">
        <v>0</v>
      </c>
      <c r="G891" s="2" t="str">
        <f t="shared" si="41"/>
        <v>04</v>
      </c>
      <c r="H891" s="3">
        <v>785</v>
      </c>
    </row>
    <row r="892" spans="1:8" ht="29.25" x14ac:dyDescent="0.25">
      <c r="A892" s="2" t="str">
        <f>"00027339"</f>
        <v>00027339</v>
      </c>
      <c r="B892" s="2" t="str">
        <f t="shared" si="38"/>
        <v>SG</v>
      </c>
      <c r="C892" s="4" t="s">
        <v>596</v>
      </c>
      <c r="D892" s="4" t="s">
        <v>0</v>
      </c>
      <c r="E892" s="4" t="s">
        <v>12</v>
      </c>
      <c r="F892" s="2" t="s">
        <v>0</v>
      </c>
      <c r="G892" s="2" t="str">
        <f>"02"</f>
        <v>02</v>
      </c>
      <c r="H892" s="3">
        <v>552</v>
      </c>
    </row>
    <row r="893" spans="1:8" ht="29.25" x14ac:dyDescent="0.25">
      <c r="A893" s="2" t="str">
        <f>"00027340"</f>
        <v>00027340</v>
      </c>
      <c r="B893" s="2" t="str">
        <f t="shared" si="38"/>
        <v>SG</v>
      </c>
      <c r="C893" s="4" t="s">
        <v>597</v>
      </c>
      <c r="D893" s="4" t="s">
        <v>0</v>
      </c>
      <c r="E893" s="4" t="s">
        <v>12</v>
      </c>
      <c r="F893" s="2" t="s">
        <v>0</v>
      </c>
      <c r="G893" s="2" t="str">
        <f>"02"</f>
        <v>02</v>
      </c>
      <c r="H893" s="3">
        <v>552</v>
      </c>
    </row>
    <row r="894" spans="1:8" x14ac:dyDescent="0.25">
      <c r="A894" s="2" t="str">
        <f>"00027345"</f>
        <v>00027345</v>
      </c>
      <c r="B894" s="2" t="str">
        <f t="shared" si="38"/>
        <v>SG</v>
      </c>
      <c r="C894" s="4" t="s">
        <v>598</v>
      </c>
      <c r="D894" s="4" t="s">
        <v>0</v>
      </c>
      <c r="E894" s="4" t="s">
        <v>12</v>
      </c>
      <c r="F894" s="2" t="s">
        <v>0</v>
      </c>
      <c r="G894" s="2" t="str">
        <f>"02"</f>
        <v>02</v>
      </c>
      <c r="H894" s="3">
        <v>552</v>
      </c>
    </row>
    <row r="895" spans="1:8" x14ac:dyDescent="0.25">
      <c r="A895" s="2" t="str">
        <f>"00027347"</f>
        <v>00027347</v>
      </c>
      <c r="B895" s="2" t="str">
        <f t="shared" si="38"/>
        <v>SG</v>
      </c>
      <c r="C895" s="4" t="s">
        <v>599</v>
      </c>
      <c r="D895" s="4" t="s">
        <v>0</v>
      </c>
      <c r="E895" s="4" t="s">
        <v>12</v>
      </c>
      <c r="F895" s="2" t="s">
        <v>0</v>
      </c>
      <c r="G895" s="2" t="str">
        <f>"02"</f>
        <v>02</v>
      </c>
      <c r="H895" s="3">
        <v>552</v>
      </c>
    </row>
    <row r="896" spans="1:8" x14ac:dyDescent="0.25">
      <c r="A896" s="2" t="str">
        <f>"00027350"</f>
        <v>00027350</v>
      </c>
      <c r="B896" s="2" t="str">
        <f t="shared" si="38"/>
        <v>SG</v>
      </c>
      <c r="C896" s="4" t="s">
        <v>600</v>
      </c>
      <c r="D896" s="4" t="s">
        <v>0</v>
      </c>
      <c r="E896" s="4" t="s">
        <v>12</v>
      </c>
      <c r="F896" s="2" t="s">
        <v>0</v>
      </c>
      <c r="G896" s="2" t="str">
        <f>"04"</f>
        <v>04</v>
      </c>
      <c r="H896" s="3">
        <v>785</v>
      </c>
    </row>
    <row r="897" spans="1:8" x14ac:dyDescent="0.25">
      <c r="A897" s="2" t="str">
        <f>"00027355"</f>
        <v>00027355</v>
      </c>
      <c r="B897" s="2" t="str">
        <f t="shared" si="38"/>
        <v>SG</v>
      </c>
      <c r="C897" s="4" t="s">
        <v>601</v>
      </c>
      <c r="D897" s="4" t="s">
        <v>0</v>
      </c>
      <c r="E897" s="4" t="s">
        <v>12</v>
      </c>
      <c r="F897" s="2" t="s">
        <v>0</v>
      </c>
      <c r="G897" s="2" t="str">
        <f>"04"</f>
        <v>04</v>
      </c>
      <c r="H897" s="3">
        <v>785</v>
      </c>
    </row>
    <row r="898" spans="1:8" ht="29.25" x14ac:dyDescent="0.25">
      <c r="A898" s="2" t="str">
        <f>"00027356"</f>
        <v>00027356</v>
      </c>
      <c r="B898" s="2" t="str">
        <f t="shared" si="38"/>
        <v>SG</v>
      </c>
      <c r="C898" s="4" t="s">
        <v>602</v>
      </c>
      <c r="D898" s="4" t="s">
        <v>0</v>
      </c>
      <c r="E898" s="4" t="s">
        <v>12</v>
      </c>
      <c r="F898" s="2" t="s">
        <v>0</v>
      </c>
      <c r="G898" s="2" t="str">
        <f>"04"</f>
        <v>04</v>
      </c>
      <c r="H898" s="3">
        <v>785</v>
      </c>
    </row>
    <row r="899" spans="1:8" ht="29.25" x14ac:dyDescent="0.25">
      <c r="A899" s="2" t="str">
        <f>"00027357"</f>
        <v>00027357</v>
      </c>
      <c r="B899" s="2" t="str">
        <f t="shared" si="38"/>
        <v>SG</v>
      </c>
      <c r="C899" s="4" t="s">
        <v>602</v>
      </c>
      <c r="D899" s="4" t="s">
        <v>0</v>
      </c>
      <c r="E899" s="4" t="s">
        <v>12</v>
      </c>
      <c r="F899" s="2" t="s">
        <v>0</v>
      </c>
      <c r="G899" s="2" t="str">
        <f>"04"</f>
        <v>04</v>
      </c>
      <c r="H899" s="3">
        <v>785</v>
      </c>
    </row>
    <row r="900" spans="1:8" ht="29.25" x14ac:dyDescent="0.25">
      <c r="A900" s="2" t="str">
        <f>"00027358"</f>
        <v>00027358</v>
      </c>
      <c r="B900" s="2" t="str">
        <f t="shared" si="38"/>
        <v>SG</v>
      </c>
      <c r="C900" s="4" t="s">
        <v>603</v>
      </c>
      <c r="D900" s="4" t="s">
        <v>0</v>
      </c>
      <c r="E900" s="4" t="s">
        <v>12</v>
      </c>
      <c r="F900" s="2" t="s">
        <v>0</v>
      </c>
      <c r="G900" s="2" t="str">
        <f>"05"</f>
        <v>05</v>
      </c>
      <c r="H900" s="3">
        <v>891</v>
      </c>
    </row>
    <row r="901" spans="1:8" ht="29.25" x14ac:dyDescent="0.25">
      <c r="A901" s="2" t="str">
        <f>"00027360"</f>
        <v>00027360</v>
      </c>
      <c r="B901" s="2" t="str">
        <f t="shared" si="38"/>
        <v>SG</v>
      </c>
      <c r="C901" s="4" t="s">
        <v>604</v>
      </c>
      <c r="D901" s="4" t="s">
        <v>0</v>
      </c>
      <c r="E901" s="4" t="s">
        <v>12</v>
      </c>
      <c r="F901" s="2" t="s">
        <v>0</v>
      </c>
      <c r="G901" s="2" t="str">
        <f>"04"</f>
        <v>04</v>
      </c>
      <c r="H901" s="3">
        <v>785</v>
      </c>
    </row>
    <row r="902" spans="1:8" ht="29.25" x14ac:dyDescent="0.25">
      <c r="A902" s="2" t="str">
        <f>"00027364"</f>
        <v>00027364</v>
      </c>
      <c r="B902" s="2" t="str">
        <f t="shared" si="38"/>
        <v>SG</v>
      </c>
      <c r="C902" s="4" t="s">
        <v>605</v>
      </c>
      <c r="D902" s="4" t="s">
        <v>0</v>
      </c>
      <c r="E902" s="4" t="s">
        <v>12</v>
      </c>
      <c r="F902" s="2" t="s">
        <v>0</v>
      </c>
      <c r="G902" s="2" t="str">
        <f>"02"</f>
        <v>02</v>
      </c>
      <c r="H902" s="3">
        <v>552</v>
      </c>
    </row>
    <row r="903" spans="1:8" ht="29.25" x14ac:dyDescent="0.25">
      <c r="A903" s="2" t="str">
        <f>"00027372"</f>
        <v>00027372</v>
      </c>
      <c r="B903" s="2" t="str">
        <f t="shared" si="38"/>
        <v>SG</v>
      </c>
      <c r="C903" s="4" t="s">
        <v>156</v>
      </c>
      <c r="D903" s="4" t="s">
        <v>0</v>
      </c>
      <c r="E903" s="4" t="s">
        <v>12</v>
      </c>
      <c r="F903" s="2" t="s">
        <v>0</v>
      </c>
      <c r="G903" s="2" t="str">
        <f>"02"</f>
        <v>02</v>
      </c>
      <c r="H903" s="3">
        <v>552</v>
      </c>
    </row>
    <row r="904" spans="1:8" ht="29.25" x14ac:dyDescent="0.25">
      <c r="A904" s="2" t="str">
        <f>"00027380"</f>
        <v>00027380</v>
      </c>
      <c r="B904" s="2" t="str">
        <f t="shared" si="38"/>
        <v>SG</v>
      </c>
      <c r="C904" s="4" t="s">
        <v>606</v>
      </c>
      <c r="D904" s="4" t="s">
        <v>0</v>
      </c>
      <c r="E904" s="4" t="s">
        <v>12</v>
      </c>
      <c r="F904" s="2" t="s">
        <v>0</v>
      </c>
      <c r="G904" s="2" t="str">
        <f>"04"</f>
        <v>04</v>
      </c>
      <c r="H904" s="3">
        <v>785</v>
      </c>
    </row>
    <row r="905" spans="1:8" ht="29.25" x14ac:dyDescent="0.25">
      <c r="A905" s="2" t="str">
        <f>"00027381"</f>
        <v>00027381</v>
      </c>
      <c r="B905" s="2" t="str">
        <f t="shared" si="38"/>
        <v>SG</v>
      </c>
      <c r="C905" s="4" t="s">
        <v>607</v>
      </c>
      <c r="D905" s="4" t="s">
        <v>0</v>
      </c>
      <c r="E905" s="4" t="s">
        <v>12</v>
      </c>
      <c r="F905" s="2" t="s">
        <v>0</v>
      </c>
      <c r="G905" s="2" t="str">
        <f>"04"</f>
        <v>04</v>
      </c>
      <c r="H905" s="3">
        <v>785</v>
      </c>
    </row>
    <row r="906" spans="1:8" x14ac:dyDescent="0.25">
      <c r="A906" s="2" t="str">
        <f>"00027385"</f>
        <v>00027385</v>
      </c>
      <c r="B906" s="2" t="str">
        <f t="shared" si="38"/>
        <v>SG</v>
      </c>
      <c r="C906" s="4" t="s">
        <v>608</v>
      </c>
      <c r="D906" s="4" t="s">
        <v>0</v>
      </c>
      <c r="E906" s="4" t="s">
        <v>12</v>
      </c>
      <c r="F906" s="2" t="s">
        <v>0</v>
      </c>
      <c r="G906" s="2" t="str">
        <f>"04"</f>
        <v>04</v>
      </c>
      <c r="H906" s="3">
        <v>785</v>
      </c>
    </row>
    <row r="907" spans="1:8" ht="29.25" x14ac:dyDescent="0.25">
      <c r="A907" s="2" t="str">
        <f>"00027386"</f>
        <v>00027386</v>
      </c>
      <c r="B907" s="2" t="str">
        <f t="shared" si="38"/>
        <v>SG</v>
      </c>
      <c r="C907" s="4" t="s">
        <v>609</v>
      </c>
      <c r="D907" s="4" t="s">
        <v>0</v>
      </c>
      <c r="E907" s="4" t="s">
        <v>12</v>
      </c>
      <c r="F907" s="2" t="s">
        <v>0</v>
      </c>
      <c r="G907" s="2" t="str">
        <f>"04"</f>
        <v>04</v>
      </c>
      <c r="H907" s="3">
        <v>785</v>
      </c>
    </row>
    <row r="908" spans="1:8" x14ac:dyDescent="0.25">
      <c r="A908" s="2" t="str">
        <f>"00027390"</f>
        <v>00027390</v>
      </c>
      <c r="B908" s="2" t="str">
        <f t="shared" si="38"/>
        <v>SG</v>
      </c>
      <c r="C908" s="4" t="s">
        <v>584</v>
      </c>
      <c r="D908" s="4" t="s">
        <v>0</v>
      </c>
      <c r="E908" s="4" t="s">
        <v>12</v>
      </c>
      <c r="F908" s="2" t="s">
        <v>0</v>
      </c>
      <c r="G908" s="2" t="str">
        <f>"02"</f>
        <v>02</v>
      </c>
      <c r="H908" s="3">
        <v>552</v>
      </c>
    </row>
    <row r="909" spans="1:8" ht="29.25" x14ac:dyDescent="0.25">
      <c r="A909" s="2" t="str">
        <f>"00027391"</f>
        <v>00027391</v>
      </c>
      <c r="B909" s="2" t="str">
        <f t="shared" ref="B909:B972" si="42">"SG"</f>
        <v>SG</v>
      </c>
      <c r="C909" s="4" t="s">
        <v>585</v>
      </c>
      <c r="D909" s="4" t="s">
        <v>0</v>
      </c>
      <c r="E909" s="4" t="s">
        <v>12</v>
      </c>
      <c r="F909" s="2" t="s">
        <v>0</v>
      </c>
      <c r="G909" s="2" t="str">
        <f>"02"</f>
        <v>02</v>
      </c>
      <c r="H909" s="3">
        <v>552</v>
      </c>
    </row>
    <row r="910" spans="1:8" ht="29.25" x14ac:dyDescent="0.25">
      <c r="A910" s="2" t="str">
        <f>"00027392"</f>
        <v>00027392</v>
      </c>
      <c r="B910" s="2" t="str">
        <f t="shared" si="42"/>
        <v>SG</v>
      </c>
      <c r="C910" s="4" t="s">
        <v>585</v>
      </c>
      <c r="D910" s="4" t="s">
        <v>0</v>
      </c>
      <c r="E910" s="4" t="s">
        <v>12</v>
      </c>
      <c r="F910" s="2" t="s">
        <v>0</v>
      </c>
      <c r="G910" s="2" t="str">
        <f>"04"</f>
        <v>04</v>
      </c>
      <c r="H910" s="3">
        <v>785</v>
      </c>
    </row>
    <row r="911" spans="1:8" ht="29.25" x14ac:dyDescent="0.25">
      <c r="A911" s="2" t="str">
        <f>"00027393"</f>
        <v>00027393</v>
      </c>
      <c r="B911" s="2" t="str">
        <f t="shared" si="42"/>
        <v>SG</v>
      </c>
      <c r="C911" s="4" t="s">
        <v>610</v>
      </c>
      <c r="D911" s="4" t="s">
        <v>0</v>
      </c>
      <c r="E911" s="4" t="s">
        <v>12</v>
      </c>
      <c r="F911" s="2" t="s">
        <v>0</v>
      </c>
      <c r="G911" s="2" t="str">
        <f>"02"</f>
        <v>02</v>
      </c>
      <c r="H911" s="3">
        <v>552</v>
      </c>
    </row>
    <row r="912" spans="1:8" ht="29.25" x14ac:dyDescent="0.25">
      <c r="A912" s="2" t="str">
        <f>"00027394"</f>
        <v>00027394</v>
      </c>
      <c r="B912" s="2" t="str">
        <f t="shared" si="42"/>
        <v>SG</v>
      </c>
      <c r="C912" s="4" t="s">
        <v>611</v>
      </c>
      <c r="D912" s="4" t="s">
        <v>0</v>
      </c>
      <c r="E912" s="4" t="s">
        <v>12</v>
      </c>
      <c r="F912" s="2" t="s">
        <v>0</v>
      </c>
      <c r="G912" s="2" t="str">
        <f>"04"</f>
        <v>04</v>
      </c>
      <c r="H912" s="3">
        <v>785</v>
      </c>
    </row>
    <row r="913" spans="1:8" ht="29.25" x14ac:dyDescent="0.25">
      <c r="A913" s="2" t="str">
        <f>"00027395"</f>
        <v>00027395</v>
      </c>
      <c r="B913" s="2" t="str">
        <f t="shared" si="42"/>
        <v>SG</v>
      </c>
      <c r="C913" s="4" t="s">
        <v>611</v>
      </c>
      <c r="D913" s="4" t="s">
        <v>0</v>
      </c>
      <c r="E913" s="4" t="s">
        <v>12</v>
      </c>
      <c r="F913" s="2" t="s">
        <v>0</v>
      </c>
      <c r="G913" s="2" t="str">
        <f>"07"</f>
        <v>07</v>
      </c>
      <c r="H913" s="3">
        <v>1233</v>
      </c>
    </row>
    <row r="914" spans="1:8" ht="29.25" x14ac:dyDescent="0.25">
      <c r="A914" s="2" t="str">
        <f>"00027396"</f>
        <v>00027396</v>
      </c>
      <c r="B914" s="2" t="str">
        <f t="shared" si="42"/>
        <v>SG</v>
      </c>
      <c r="C914" s="4" t="s">
        <v>612</v>
      </c>
      <c r="D914" s="4" t="s">
        <v>0</v>
      </c>
      <c r="E914" s="4" t="s">
        <v>12</v>
      </c>
      <c r="F914" s="2" t="s">
        <v>0</v>
      </c>
      <c r="G914" s="2" t="str">
        <f>"04"</f>
        <v>04</v>
      </c>
      <c r="H914" s="3">
        <v>785</v>
      </c>
    </row>
    <row r="915" spans="1:8" ht="29.25" x14ac:dyDescent="0.25">
      <c r="A915" s="2" t="str">
        <f>"00027397"</f>
        <v>00027397</v>
      </c>
      <c r="B915" s="2" t="str">
        <f t="shared" si="42"/>
        <v>SG</v>
      </c>
      <c r="C915" s="4" t="s">
        <v>613</v>
      </c>
      <c r="D915" s="4" t="s">
        <v>0</v>
      </c>
      <c r="E915" s="4" t="s">
        <v>12</v>
      </c>
      <c r="F915" s="2" t="s">
        <v>0</v>
      </c>
      <c r="G915" s="2" t="str">
        <f>"07"</f>
        <v>07</v>
      </c>
      <c r="H915" s="3">
        <v>1233</v>
      </c>
    </row>
    <row r="916" spans="1:8" ht="29.25" x14ac:dyDescent="0.25">
      <c r="A916" s="2" t="str">
        <f>"00027400"</f>
        <v>00027400</v>
      </c>
      <c r="B916" s="2" t="str">
        <f t="shared" si="42"/>
        <v>SG</v>
      </c>
      <c r="C916" s="4" t="s">
        <v>614</v>
      </c>
      <c r="D916" s="4" t="s">
        <v>0</v>
      </c>
      <c r="E916" s="4" t="s">
        <v>12</v>
      </c>
      <c r="F916" s="2" t="s">
        <v>0</v>
      </c>
      <c r="G916" s="2" t="str">
        <f>"07"</f>
        <v>07</v>
      </c>
      <c r="H916" s="3">
        <v>1233</v>
      </c>
    </row>
    <row r="917" spans="1:8" ht="29.25" x14ac:dyDescent="0.25">
      <c r="A917" s="2" t="str">
        <f>"00027403"</f>
        <v>00027403</v>
      </c>
      <c r="B917" s="2" t="str">
        <f t="shared" si="42"/>
        <v>SG</v>
      </c>
      <c r="C917" s="4" t="s">
        <v>615</v>
      </c>
      <c r="D917" s="4" t="s">
        <v>0</v>
      </c>
      <c r="E917" s="4" t="s">
        <v>12</v>
      </c>
      <c r="F917" s="2" t="s">
        <v>0</v>
      </c>
      <c r="G917" s="2" t="str">
        <f>"04"</f>
        <v>04</v>
      </c>
      <c r="H917" s="3">
        <v>785</v>
      </c>
    </row>
    <row r="918" spans="1:8" x14ac:dyDescent="0.25">
      <c r="A918" s="2" t="str">
        <f>"00027405"</f>
        <v>00027405</v>
      </c>
      <c r="B918" s="2" t="str">
        <f t="shared" si="42"/>
        <v>SG</v>
      </c>
      <c r="C918" s="4" t="s">
        <v>616</v>
      </c>
      <c r="D918" s="4" t="s">
        <v>0</v>
      </c>
      <c r="E918" s="4" t="s">
        <v>12</v>
      </c>
      <c r="F918" s="2" t="s">
        <v>0</v>
      </c>
      <c r="G918" s="2" t="str">
        <f>"07"</f>
        <v>07</v>
      </c>
      <c r="H918" s="3">
        <v>1233</v>
      </c>
    </row>
    <row r="919" spans="1:8" x14ac:dyDescent="0.25">
      <c r="A919" s="2" t="str">
        <f>"00027407"</f>
        <v>00027407</v>
      </c>
      <c r="B919" s="2" t="str">
        <f t="shared" si="42"/>
        <v>SG</v>
      </c>
      <c r="C919" s="4" t="s">
        <v>616</v>
      </c>
      <c r="D919" s="4" t="s">
        <v>0</v>
      </c>
      <c r="E919" s="4" t="s">
        <v>12</v>
      </c>
      <c r="F919" s="2" t="s">
        <v>0</v>
      </c>
      <c r="G919" s="2" t="str">
        <f>"09"</f>
        <v>09</v>
      </c>
      <c r="H919" s="3">
        <v>1662</v>
      </c>
    </row>
    <row r="920" spans="1:8" ht="29.25" x14ac:dyDescent="0.25">
      <c r="A920" s="2" t="str">
        <f>"00027409"</f>
        <v>00027409</v>
      </c>
      <c r="B920" s="2" t="str">
        <f t="shared" si="42"/>
        <v>SG</v>
      </c>
      <c r="C920" s="4" t="s">
        <v>617</v>
      </c>
      <c r="D920" s="4" t="s">
        <v>0</v>
      </c>
      <c r="E920" s="4" t="s">
        <v>12</v>
      </c>
      <c r="F920" s="2" t="s">
        <v>0</v>
      </c>
      <c r="G920" s="2" t="str">
        <f>"07"</f>
        <v>07</v>
      </c>
      <c r="H920" s="3">
        <v>1233</v>
      </c>
    </row>
    <row r="921" spans="1:8" ht="29.25" x14ac:dyDescent="0.25">
      <c r="A921" s="2" t="str">
        <f>"00027418"</f>
        <v>00027418</v>
      </c>
      <c r="B921" s="2" t="str">
        <f t="shared" si="42"/>
        <v>SG</v>
      </c>
      <c r="C921" s="4" t="s">
        <v>618</v>
      </c>
      <c r="D921" s="4" t="s">
        <v>0</v>
      </c>
      <c r="E921" s="4" t="s">
        <v>12</v>
      </c>
      <c r="F921" s="2" t="s">
        <v>0</v>
      </c>
      <c r="G921" s="2" t="str">
        <f>"07"</f>
        <v>07</v>
      </c>
      <c r="H921" s="3">
        <v>1233</v>
      </c>
    </row>
    <row r="922" spans="1:8" ht="29.25" x14ac:dyDescent="0.25">
      <c r="A922" s="2" t="str">
        <f>"00027420"</f>
        <v>00027420</v>
      </c>
      <c r="B922" s="2" t="str">
        <f t="shared" si="42"/>
        <v>SG</v>
      </c>
      <c r="C922" s="4" t="s">
        <v>619</v>
      </c>
      <c r="D922" s="4" t="s">
        <v>0</v>
      </c>
      <c r="E922" s="4" t="s">
        <v>12</v>
      </c>
      <c r="F922" s="2" t="s">
        <v>0</v>
      </c>
      <c r="G922" s="2" t="str">
        <f>"07"</f>
        <v>07</v>
      </c>
      <c r="H922" s="3">
        <v>1233</v>
      </c>
    </row>
    <row r="923" spans="1:8" ht="29.25" x14ac:dyDescent="0.25">
      <c r="A923" s="2" t="str">
        <f>"00027422"</f>
        <v>00027422</v>
      </c>
      <c r="B923" s="2" t="str">
        <f t="shared" si="42"/>
        <v>SG</v>
      </c>
      <c r="C923" s="4" t="s">
        <v>619</v>
      </c>
      <c r="D923" s="4" t="s">
        <v>0</v>
      </c>
      <c r="E923" s="4" t="s">
        <v>12</v>
      </c>
      <c r="F923" s="2" t="s">
        <v>0</v>
      </c>
      <c r="G923" s="2" t="str">
        <f>"07"</f>
        <v>07</v>
      </c>
      <c r="H923" s="3">
        <v>1233</v>
      </c>
    </row>
    <row r="924" spans="1:8" ht="29.25" x14ac:dyDescent="0.25">
      <c r="A924" s="2" t="str">
        <f>"00027424"</f>
        <v>00027424</v>
      </c>
      <c r="B924" s="2" t="str">
        <f t="shared" si="42"/>
        <v>SG</v>
      </c>
      <c r="C924" s="4" t="s">
        <v>620</v>
      </c>
      <c r="D924" s="4" t="s">
        <v>0</v>
      </c>
      <c r="E924" s="4" t="s">
        <v>12</v>
      </c>
      <c r="F924" s="2" t="s">
        <v>0</v>
      </c>
      <c r="G924" s="2" t="str">
        <f>"07"</f>
        <v>07</v>
      </c>
      <c r="H924" s="3">
        <v>1233</v>
      </c>
    </row>
    <row r="925" spans="1:8" ht="29.25" x14ac:dyDescent="0.25">
      <c r="A925" s="2" t="str">
        <f>"00027425"</f>
        <v>00027425</v>
      </c>
      <c r="B925" s="2" t="str">
        <f t="shared" si="42"/>
        <v>SG</v>
      </c>
      <c r="C925" s="4" t="s">
        <v>621</v>
      </c>
      <c r="D925" s="4" t="s">
        <v>0</v>
      </c>
      <c r="E925" s="4" t="s">
        <v>12</v>
      </c>
      <c r="F925" s="2" t="s">
        <v>0</v>
      </c>
      <c r="G925" s="2" t="str">
        <f>"04"</f>
        <v>04</v>
      </c>
      <c r="H925" s="3">
        <v>785</v>
      </c>
    </row>
    <row r="926" spans="1:8" x14ac:dyDescent="0.25">
      <c r="A926" s="2" t="str">
        <f>"00027427"</f>
        <v>00027427</v>
      </c>
      <c r="B926" s="2" t="str">
        <f t="shared" si="42"/>
        <v>SG</v>
      </c>
      <c r="C926" s="4" t="s">
        <v>622</v>
      </c>
      <c r="D926" s="4" t="s">
        <v>0</v>
      </c>
      <c r="E926" s="4" t="s">
        <v>12</v>
      </c>
      <c r="F926" s="2" t="s">
        <v>0</v>
      </c>
      <c r="G926" s="2" t="str">
        <f>"09"</f>
        <v>09</v>
      </c>
      <c r="H926" s="3">
        <v>1662</v>
      </c>
    </row>
    <row r="927" spans="1:8" x14ac:dyDescent="0.25">
      <c r="A927" s="2" t="str">
        <f>"00027428"</f>
        <v>00027428</v>
      </c>
      <c r="B927" s="2" t="str">
        <f t="shared" si="42"/>
        <v>SG</v>
      </c>
      <c r="C927" s="4" t="s">
        <v>622</v>
      </c>
      <c r="D927" s="4" t="s">
        <v>0</v>
      </c>
      <c r="E927" s="4" t="s">
        <v>12</v>
      </c>
      <c r="F927" s="2" t="s">
        <v>0</v>
      </c>
      <c r="G927" s="2" t="str">
        <f>"09"</f>
        <v>09</v>
      </c>
      <c r="H927" s="3">
        <v>1662</v>
      </c>
    </row>
    <row r="928" spans="1:8" x14ac:dyDescent="0.25">
      <c r="A928" s="2" t="str">
        <f>"00027429"</f>
        <v>00027429</v>
      </c>
      <c r="B928" s="2" t="str">
        <f t="shared" si="42"/>
        <v>SG</v>
      </c>
      <c r="C928" s="4" t="s">
        <v>622</v>
      </c>
      <c r="D928" s="4" t="s">
        <v>0</v>
      </c>
      <c r="E928" s="4" t="s">
        <v>12</v>
      </c>
      <c r="F928" s="2" t="s">
        <v>0</v>
      </c>
      <c r="G928" s="2" t="str">
        <f>"09"</f>
        <v>09</v>
      </c>
      <c r="H928" s="3">
        <v>1662</v>
      </c>
    </row>
    <row r="929" spans="1:8" ht="29.25" x14ac:dyDescent="0.25">
      <c r="A929" s="2" t="str">
        <f>"00027430"</f>
        <v>00027430</v>
      </c>
      <c r="B929" s="2" t="str">
        <f t="shared" si="42"/>
        <v>SG</v>
      </c>
      <c r="C929" s="4" t="s">
        <v>623</v>
      </c>
      <c r="D929" s="4" t="s">
        <v>0</v>
      </c>
      <c r="E929" s="4" t="s">
        <v>12</v>
      </c>
      <c r="F929" s="2" t="s">
        <v>0</v>
      </c>
      <c r="G929" s="2" t="str">
        <f>"07"</f>
        <v>07</v>
      </c>
      <c r="H929" s="3">
        <v>1233</v>
      </c>
    </row>
    <row r="930" spans="1:8" x14ac:dyDescent="0.25">
      <c r="A930" s="2" t="str">
        <f>"00027435"</f>
        <v>00027435</v>
      </c>
      <c r="B930" s="2" t="str">
        <f t="shared" si="42"/>
        <v>SG</v>
      </c>
      <c r="C930" s="4" t="s">
        <v>624</v>
      </c>
      <c r="D930" s="4" t="s">
        <v>0</v>
      </c>
      <c r="E930" s="4" t="s">
        <v>12</v>
      </c>
      <c r="F930" s="2" t="s">
        <v>0</v>
      </c>
      <c r="G930" s="2" t="str">
        <f>"04"</f>
        <v>04</v>
      </c>
      <c r="H930" s="3">
        <v>785</v>
      </c>
    </row>
    <row r="931" spans="1:8" x14ac:dyDescent="0.25">
      <c r="A931" s="2" t="str">
        <f>"00027437"</f>
        <v>00027437</v>
      </c>
      <c r="B931" s="2" t="str">
        <f t="shared" si="42"/>
        <v>SG</v>
      </c>
      <c r="C931" s="4" t="s">
        <v>625</v>
      </c>
      <c r="D931" s="4" t="s">
        <v>0</v>
      </c>
      <c r="E931" s="4" t="s">
        <v>12</v>
      </c>
      <c r="F931" s="2" t="s">
        <v>0</v>
      </c>
      <c r="G931" s="2" t="str">
        <f>"06"</f>
        <v>06</v>
      </c>
      <c r="H931" s="3">
        <v>1000</v>
      </c>
    </row>
    <row r="932" spans="1:8" ht="29.25" x14ac:dyDescent="0.25">
      <c r="A932" s="2" t="str">
        <f>"00027438"</f>
        <v>00027438</v>
      </c>
      <c r="B932" s="2" t="str">
        <f t="shared" si="42"/>
        <v>SG</v>
      </c>
      <c r="C932" s="4" t="s">
        <v>626</v>
      </c>
      <c r="D932" s="4" t="s">
        <v>0</v>
      </c>
      <c r="E932" s="4" t="s">
        <v>12</v>
      </c>
      <c r="F932" s="2" t="s">
        <v>0</v>
      </c>
      <c r="G932" s="2" t="str">
        <f>"09"</f>
        <v>09</v>
      </c>
      <c r="H932" s="3">
        <v>1662</v>
      </c>
    </row>
    <row r="933" spans="1:8" x14ac:dyDescent="0.25">
      <c r="A933" s="2" t="str">
        <f>"00027441"</f>
        <v>00027441</v>
      </c>
      <c r="B933" s="2" t="str">
        <f t="shared" si="42"/>
        <v>SG</v>
      </c>
      <c r="C933" s="4" t="s">
        <v>627</v>
      </c>
      <c r="D933" s="4" t="s">
        <v>0</v>
      </c>
      <c r="E933" s="4" t="s">
        <v>12</v>
      </c>
      <c r="F933" s="2" t="s">
        <v>0</v>
      </c>
      <c r="G933" s="2" t="str">
        <f>"06"</f>
        <v>06</v>
      </c>
      <c r="H933" s="3">
        <v>1000</v>
      </c>
    </row>
    <row r="934" spans="1:8" x14ac:dyDescent="0.25">
      <c r="A934" s="2" t="str">
        <f>"00027442"</f>
        <v>00027442</v>
      </c>
      <c r="B934" s="2" t="str">
        <f t="shared" si="42"/>
        <v>SG</v>
      </c>
      <c r="C934" s="4" t="s">
        <v>627</v>
      </c>
      <c r="D934" s="4" t="s">
        <v>0</v>
      </c>
      <c r="E934" s="4" t="s">
        <v>12</v>
      </c>
      <c r="F934" s="2" t="s">
        <v>0</v>
      </c>
      <c r="G934" s="2" t="str">
        <f>"09"</f>
        <v>09</v>
      </c>
      <c r="H934" s="3">
        <v>1662</v>
      </c>
    </row>
    <row r="935" spans="1:8" x14ac:dyDescent="0.25">
      <c r="A935" s="2" t="str">
        <f>"00027443"</f>
        <v>00027443</v>
      </c>
      <c r="B935" s="2" t="str">
        <f t="shared" si="42"/>
        <v>SG</v>
      </c>
      <c r="C935" s="4" t="s">
        <v>627</v>
      </c>
      <c r="D935" s="4" t="s">
        <v>0</v>
      </c>
      <c r="E935" s="4" t="s">
        <v>12</v>
      </c>
      <c r="F935" s="2" t="s">
        <v>0</v>
      </c>
      <c r="G935" s="2" t="str">
        <f>"09"</f>
        <v>09</v>
      </c>
      <c r="H935" s="3">
        <v>1662</v>
      </c>
    </row>
    <row r="936" spans="1:8" ht="29.25" x14ac:dyDescent="0.25">
      <c r="A936" s="2" t="str">
        <f>"00027496"</f>
        <v>00027496</v>
      </c>
      <c r="B936" s="2" t="str">
        <f t="shared" si="42"/>
        <v>SG</v>
      </c>
      <c r="C936" s="4" t="s">
        <v>628</v>
      </c>
      <c r="D936" s="4" t="s">
        <v>0</v>
      </c>
      <c r="E936" s="4" t="s">
        <v>12</v>
      </c>
      <c r="F936" s="2" t="s">
        <v>0</v>
      </c>
      <c r="G936" s="2" t="str">
        <f>"04"</f>
        <v>04</v>
      </c>
      <c r="H936" s="3">
        <v>785</v>
      </c>
    </row>
    <row r="937" spans="1:8" ht="29.25" x14ac:dyDescent="0.25">
      <c r="A937" s="2" t="str">
        <f>"00027497"</f>
        <v>00027497</v>
      </c>
      <c r="B937" s="2" t="str">
        <f t="shared" si="42"/>
        <v>SG</v>
      </c>
      <c r="C937" s="4" t="s">
        <v>628</v>
      </c>
      <c r="D937" s="4" t="s">
        <v>0</v>
      </c>
      <c r="E937" s="4" t="s">
        <v>12</v>
      </c>
      <c r="F937" s="2" t="s">
        <v>0</v>
      </c>
      <c r="G937" s="2" t="str">
        <f>"02"</f>
        <v>02</v>
      </c>
      <c r="H937" s="3">
        <v>552</v>
      </c>
    </row>
    <row r="938" spans="1:8" ht="29.25" x14ac:dyDescent="0.25">
      <c r="A938" s="2" t="str">
        <f>"00027498"</f>
        <v>00027498</v>
      </c>
      <c r="B938" s="2" t="str">
        <f t="shared" si="42"/>
        <v>SG</v>
      </c>
      <c r="C938" s="4" t="s">
        <v>628</v>
      </c>
      <c r="D938" s="4" t="s">
        <v>0</v>
      </c>
      <c r="E938" s="4" t="s">
        <v>12</v>
      </c>
      <c r="F938" s="2" t="s">
        <v>0</v>
      </c>
      <c r="G938" s="2" t="str">
        <f>"04"</f>
        <v>04</v>
      </c>
      <c r="H938" s="3">
        <v>785</v>
      </c>
    </row>
    <row r="939" spans="1:8" ht="29.25" x14ac:dyDescent="0.25">
      <c r="A939" s="2" t="str">
        <f>"00027499"</f>
        <v>00027499</v>
      </c>
      <c r="B939" s="2" t="str">
        <f t="shared" si="42"/>
        <v>SG</v>
      </c>
      <c r="C939" s="4" t="s">
        <v>628</v>
      </c>
      <c r="D939" s="4" t="s">
        <v>0</v>
      </c>
      <c r="E939" s="4" t="s">
        <v>12</v>
      </c>
      <c r="F939" s="2" t="s">
        <v>0</v>
      </c>
      <c r="G939" s="2" t="str">
        <f>"04"</f>
        <v>04</v>
      </c>
      <c r="H939" s="3">
        <v>785</v>
      </c>
    </row>
    <row r="940" spans="1:8" ht="29.25" x14ac:dyDescent="0.25">
      <c r="A940" s="2" t="str">
        <f>"00027500"</f>
        <v>00027500</v>
      </c>
      <c r="B940" s="2" t="str">
        <f t="shared" si="42"/>
        <v>SG</v>
      </c>
      <c r="C940" s="4" t="s">
        <v>629</v>
      </c>
      <c r="D940" s="4" t="s">
        <v>0</v>
      </c>
      <c r="E940" s="4" t="s">
        <v>12</v>
      </c>
      <c r="F940" s="2" t="s">
        <v>0</v>
      </c>
      <c r="G940" s="2" t="str">
        <f>"01"</f>
        <v>01</v>
      </c>
      <c r="H940" s="3">
        <v>413</v>
      </c>
    </row>
    <row r="941" spans="1:8" ht="29.25" x14ac:dyDescent="0.25">
      <c r="A941" s="2" t="str">
        <f>"00027501"</f>
        <v>00027501</v>
      </c>
      <c r="B941" s="2" t="str">
        <f t="shared" si="42"/>
        <v>SG</v>
      </c>
      <c r="C941" s="4" t="s">
        <v>629</v>
      </c>
      <c r="D941" s="4" t="s">
        <v>0</v>
      </c>
      <c r="E941" s="4" t="s">
        <v>12</v>
      </c>
      <c r="F941" s="2" t="s">
        <v>0</v>
      </c>
      <c r="G941" s="2" t="str">
        <f>"01"</f>
        <v>01</v>
      </c>
      <c r="H941" s="3">
        <v>413</v>
      </c>
    </row>
    <row r="942" spans="1:8" ht="29.25" x14ac:dyDescent="0.25">
      <c r="A942" s="2" t="str">
        <f>"00027502"</f>
        <v>00027502</v>
      </c>
      <c r="B942" s="2" t="str">
        <f t="shared" si="42"/>
        <v>SG</v>
      </c>
      <c r="C942" s="4" t="s">
        <v>629</v>
      </c>
      <c r="D942" s="4" t="s">
        <v>0</v>
      </c>
      <c r="E942" s="4" t="s">
        <v>12</v>
      </c>
      <c r="F942" s="2" t="s">
        <v>0</v>
      </c>
      <c r="G942" s="2" t="str">
        <f>"01"</f>
        <v>01</v>
      </c>
      <c r="H942" s="3">
        <v>413</v>
      </c>
    </row>
    <row r="943" spans="1:8" ht="29.25" x14ac:dyDescent="0.25">
      <c r="A943" s="2" t="str">
        <f>"00027503"</f>
        <v>00027503</v>
      </c>
      <c r="B943" s="2" t="str">
        <f t="shared" si="42"/>
        <v>SG</v>
      </c>
      <c r="C943" s="4" t="s">
        <v>629</v>
      </c>
      <c r="D943" s="4" t="s">
        <v>0</v>
      </c>
      <c r="E943" s="4" t="s">
        <v>12</v>
      </c>
      <c r="F943" s="2" t="s">
        <v>0</v>
      </c>
      <c r="G943" s="2" t="str">
        <f>"01"</f>
        <v>01</v>
      </c>
      <c r="H943" s="3">
        <v>413</v>
      </c>
    </row>
    <row r="944" spans="1:8" ht="29.25" x14ac:dyDescent="0.25">
      <c r="A944" s="2" t="str">
        <f>"00027508"</f>
        <v>00027508</v>
      </c>
      <c r="B944" s="2" t="str">
        <f t="shared" si="42"/>
        <v>SG</v>
      </c>
      <c r="C944" s="4" t="s">
        <v>629</v>
      </c>
      <c r="D944" s="4" t="s">
        <v>0</v>
      </c>
      <c r="E944" s="4" t="s">
        <v>12</v>
      </c>
      <c r="F944" s="2" t="s">
        <v>0</v>
      </c>
      <c r="G944" s="2" t="str">
        <f>"01"</f>
        <v>01</v>
      </c>
      <c r="H944" s="3">
        <v>413</v>
      </c>
    </row>
    <row r="945" spans="1:8" ht="29.25" x14ac:dyDescent="0.25">
      <c r="A945" s="2" t="str">
        <f>"00027509"</f>
        <v>00027509</v>
      </c>
      <c r="B945" s="2" t="str">
        <f t="shared" si="42"/>
        <v>SG</v>
      </c>
      <c r="C945" s="4" t="s">
        <v>629</v>
      </c>
      <c r="D945" s="4" t="s">
        <v>0</v>
      </c>
      <c r="E945" s="4" t="s">
        <v>12</v>
      </c>
      <c r="F945" s="2" t="s">
        <v>0</v>
      </c>
      <c r="G945" s="2" t="str">
        <f>"03"</f>
        <v>03</v>
      </c>
      <c r="H945" s="3">
        <v>637</v>
      </c>
    </row>
    <row r="946" spans="1:8" ht="29.25" x14ac:dyDescent="0.25">
      <c r="A946" s="2" t="str">
        <f>"00027510"</f>
        <v>00027510</v>
      </c>
      <c r="B946" s="2" t="str">
        <f t="shared" si="42"/>
        <v>SG</v>
      </c>
      <c r="C946" s="4" t="s">
        <v>629</v>
      </c>
      <c r="D946" s="4" t="s">
        <v>0</v>
      </c>
      <c r="E946" s="4" t="s">
        <v>12</v>
      </c>
      <c r="F946" s="2" t="s">
        <v>0</v>
      </c>
      <c r="G946" s="2" t="str">
        <f t="shared" ref="G946:G956" si="43">"01"</f>
        <v>01</v>
      </c>
      <c r="H946" s="3">
        <v>413</v>
      </c>
    </row>
    <row r="947" spans="1:8" ht="29.25" x14ac:dyDescent="0.25">
      <c r="A947" s="2" t="str">
        <f>"00027516"</f>
        <v>00027516</v>
      </c>
      <c r="B947" s="2" t="str">
        <f t="shared" si="42"/>
        <v>SG</v>
      </c>
      <c r="C947" s="4" t="s">
        <v>630</v>
      </c>
      <c r="D947" s="4" t="s">
        <v>0</v>
      </c>
      <c r="E947" s="4" t="s">
        <v>12</v>
      </c>
      <c r="F947" s="2" t="s">
        <v>0</v>
      </c>
      <c r="G947" s="2" t="str">
        <f t="shared" si="43"/>
        <v>01</v>
      </c>
      <c r="H947" s="3">
        <v>413</v>
      </c>
    </row>
    <row r="948" spans="1:8" ht="29.25" x14ac:dyDescent="0.25">
      <c r="A948" s="2" t="str">
        <f>"00027517"</f>
        <v>00027517</v>
      </c>
      <c r="B948" s="2" t="str">
        <f t="shared" si="42"/>
        <v>SG</v>
      </c>
      <c r="C948" s="4" t="s">
        <v>630</v>
      </c>
      <c r="D948" s="4" t="s">
        <v>0</v>
      </c>
      <c r="E948" s="4" t="s">
        <v>12</v>
      </c>
      <c r="F948" s="2" t="s">
        <v>0</v>
      </c>
      <c r="G948" s="2" t="str">
        <f t="shared" si="43"/>
        <v>01</v>
      </c>
      <c r="H948" s="3">
        <v>413</v>
      </c>
    </row>
    <row r="949" spans="1:8" ht="29.25" x14ac:dyDescent="0.25">
      <c r="A949" s="2" t="str">
        <f>"00027520"</f>
        <v>00027520</v>
      </c>
      <c r="B949" s="2" t="str">
        <f t="shared" si="42"/>
        <v>SG</v>
      </c>
      <c r="C949" s="4" t="s">
        <v>631</v>
      </c>
      <c r="D949" s="4" t="s">
        <v>0</v>
      </c>
      <c r="E949" s="4" t="s">
        <v>12</v>
      </c>
      <c r="F949" s="2" t="s">
        <v>0</v>
      </c>
      <c r="G949" s="2" t="str">
        <f t="shared" si="43"/>
        <v>01</v>
      </c>
      <c r="H949" s="3">
        <v>413</v>
      </c>
    </row>
    <row r="950" spans="1:8" x14ac:dyDescent="0.25">
      <c r="A950" s="2" t="str">
        <f>"00027530"</f>
        <v>00027530</v>
      </c>
      <c r="B950" s="2" t="str">
        <f t="shared" si="42"/>
        <v>SG</v>
      </c>
      <c r="C950" s="4" t="s">
        <v>632</v>
      </c>
      <c r="D950" s="4" t="s">
        <v>0</v>
      </c>
      <c r="E950" s="4" t="s">
        <v>12</v>
      </c>
      <c r="F950" s="2" t="s">
        <v>0</v>
      </c>
      <c r="G950" s="2" t="str">
        <f t="shared" si="43"/>
        <v>01</v>
      </c>
      <c r="H950" s="3">
        <v>413</v>
      </c>
    </row>
    <row r="951" spans="1:8" x14ac:dyDescent="0.25">
      <c r="A951" s="2" t="str">
        <f>"00027532"</f>
        <v>00027532</v>
      </c>
      <c r="B951" s="2" t="str">
        <f t="shared" si="42"/>
        <v>SG</v>
      </c>
      <c r="C951" s="4" t="s">
        <v>632</v>
      </c>
      <c r="D951" s="4" t="s">
        <v>0</v>
      </c>
      <c r="E951" s="4" t="s">
        <v>12</v>
      </c>
      <c r="F951" s="2" t="s">
        <v>0</v>
      </c>
      <c r="G951" s="2" t="str">
        <f t="shared" si="43"/>
        <v>01</v>
      </c>
      <c r="H951" s="3">
        <v>413</v>
      </c>
    </row>
    <row r="952" spans="1:8" x14ac:dyDescent="0.25">
      <c r="A952" s="2" t="str">
        <f>"00027538"</f>
        <v>00027538</v>
      </c>
      <c r="B952" s="2" t="str">
        <f t="shared" si="42"/>
        <v>SG</v>
      </c>
      <c r="C952" s="4" t="s">
        <v>633</v>
      </c>
      <c r="D952" s="4" t="s">
        <v>0</v>
      </c>
      <c r="E952" s="4" t="s">
        <v>12</v>
      </c>
      <c r="F952" s="2" t="s">
        <v>0</v>
      </c>
      <c r="G952" s="2" t="str">
        <f t="shared" si="43"/>
        <v>01</v>
      </c>
      <c r="H952" s="3">
        <v>413</v>
      </c>
    </row>
    <row r="953" spans="1:8" x14ac:dyDescent="0.25">
      <c r="A953" s="2" t="str">
        <f>"00027550"</f>
        <v>00027550</v>
      </c>
      <c r="B953" s="2" t="str">
        <f t="shared" si="42"/>
        <v>SG</v>
      </c>
      <c r="C953" s="4" t="s">
        <v>634</v>
      </c>
      <c r="D953" s="4" t="s">
        <v>0</v>
      </c>
      <c r="E953" s="4" t="s">
        <v>12</v>
      </c>
      <c r="F953" s="2" t="s">
        <v>0</v>
      </c>
      <c r="G953" s="2" t="str">
        <f t="shared" si="43"/>
        <v>01</v>
      </c>
      <c r="H953" s="3">
        <v>413</v>
      </c>
    </row>
    <row r="954" spans="1:8" x14ac:dyDescent="0.25">
      <c r="A954" s="2" t="str">
        <f>"00027552"</f>
        <v>00027552</v>
      </c>
      <c r="B954" s="2" t="str">
        <f t="shared" si="42"/>
        <v>SG</v>
      </c>
      <c r="C954" s="4" t="s">
        <v>634</v>
      </c>
      <c r="D954" s="4" t="s">
        <v>0</v>
      </c>
      <c r="E954" s="4" t="s">
        <v>12</v>
      </c>
      <c r="F954" s="2" t="s">
        <v>0</v>
      </c>
      <c r="G954" s="2" t="str">
        <f t="shared" si="43"/>
        <v>01</v>
      </c>
      <c r="H954" s="3">
        <v>413</v>
      </c>
    </row>
    <row r="955" spans="1:8" ht="29.25" x14ac:dyDescent="0.25">
      <c r="A955" s="2" t="str">
        <f>"00027560"</f>
        <v>00027560</v>
      </c>
      <c r="B955" s="2" t="str">
        <f t="shared" si="42"/>
        <v>SG</v>
      </c>
      <c r="C955" s="4" t="s">
        <v>635</v>
      </c>
      <c r="D955" s="4" t="s">
        <v>0</v>
      </c>
      <c r="E955" s="4" t="s">
        <v>12</v>
      </c>
      <c r="F955" s="2" t="s">
        <v>0</v>
      </c>
      <c r="G955" s="2" t="str">
        <f t="shared" si="43"/>
        <v>01</v>
      </c>
      <c r="H955" s="3">
        <v>413</v>
      </c>
    </row>
    <row r="956" spans="1:8" ht="29.25" x14ac:dyDescent="0.25">
      <c r="A956" s="2" t="str">
        <f>"00027562"</f>
        <v>00027562</v>
      </c>
      <c r="B956" s="2" t="str">
        <f t="shared" si="42"/>
        <v>SG</v>
      </c>
      <c r="C956" s="4" t="s">
        <v>635</v>
      </c>
      <c r="D956" s="4" t="s">
        <v>0</v>
      </c>
      <c r="E956" s="4" t="s">
        <v>12</v>
      </c>
      <c r="F956" s="2" t="s">
        <v>0</v>
      </c>
      <c r="G956" s="2" t="str">
        <f t="shared" si="43"/>
        <v>01</v>
      </c>
      <c r="H956" s="3">
        <v>413</v>
      </c>
    </row>
    <row r="957" spans="1:8" ht="29.25" x14ac:dyDescent="0.25">
      <c r="A957" s="2" t="str">
        <f>"00027566"</f>
        <v>00027566</v>
      </c>
      <c r="B957" s="2" t="str">
        <f t="shared" si="42"/>
        <v>SG</v>
      </c>
      <c r="C957" s="4" t="s">
        <v>635</v>
      </c>
      <c r="D957" s="4" t="s">
        <v>0</v>
      </c>
      <c r="E957" s="4" t="s">
        <v>12</v>
      </c>
      <c r="F957" s="2" t="s">
        <v>0</v>
      </c>
      <c r="G957" s="2" t="str">
        <f>"08"</f>
        <v>08</v>
      </c>
      <c r="H957" s="3">
        <v>1183</v>
      </c>
    </row>
    <row r="958" spans="1:8" x14ac:dyDescent="0.25">
      <c r="A958" s="2" t="str">
        <f>"00027570"</f>
        <v>00027570</v>
      </c>
      <c r="B958" s="2" t="str">
        <f t="shared" si="42"/>
        <v>SG</v>
      </c>
      <c r="C958" s="4" t="s">
        <v>636</v>
      </c>
      <c r="D958" s="4" t="s">
        <v>0</v>
      </c>
      <c r="E958" s="4" t="s">
        <v>12</v>
      </c>
      <c r="F958" s="2" t="s">
        <v>0</v>
      </c>
      <c r="G958" s="2" t="str">
        <f>"01"</f>
        <v>01</v>
      </c>
      <c r="H958" s="3">
        <v>413</v>
      </c>
    </row>
    <row r="959" spans="1:8" ht="29.25" x14ac:dyDescent="0.25">
      <c r="A959" s="2" t="str">
        <f>"00027594"</f>
        <v>00027594</v>
      </c>
      <c r="B959" s="2" t="str">
        <f t="shared" si="42"/>
        <v>SG</v>
      </c>
      <c r="C959" s="4" t="s">
        <v>303</v>
      </c>
      <c r="D959" s="4" t="s">
        <v>0</v>
      </c>
      <c r="E959" s="4" t="s">
        <v>12</v>
      </c>
      <c r="F959" s="2" t="s">
        <v>0</v>
      </c>
      <c r="G959" s="2" t="str">
        <f>"02"</f>
        <v>02</v>
      </c>
      <c r="H959" s="3">
        <v>552</v>
      </c>
    </row>
    <row r="960" spans="1:8" ht="29.25" x14ac:dyDescent="0.25">
      <c r="A960" s="2" t="str">
        <f>"00027600"</f>
        <v>00027600</v>
      </c>
      <c r="B960" s="2" t="str">
        <f t="shared" si="42"/>
        <v>SG</v>
      </c>
      <c r="C960" s="4" t="s">
        <v>637</v>
      </c>
      <c r="D960" s="4" t="s">
        <v>0</v>
      </c>
      <c r="E960" s="4" t="s">
        <v>12</v>
      </c>
      <c r="F960" s="2" t="s">
        <v>0</v>
      </c>
      <c r="G960" s="2" t="str">
        <f>"02"</f>
        <v>02</v>
      </c>
      <c r="H960" s="3">
        <v>552</v>
      </c>
    </row>
    <row r="961" spans="1:8" ht="29.25" x14ac:dyDescent="0.25">
      <c r="A961" s="2" t="str">
        <f>"00027601"</f>
        <v>00027601</v>
      </c>
      <c r="B961" s="2" t="str">
        <f t="shared" si="42"/>
        <v>SG</v>
      </c>
      <c r="C961" s="4" t="s">
        <v>637</v>
      </c>
      <c r="D961" s="4" t="s">
        <v>0</v>
      </c>
      <c r="E961" s="4" t="s">
        <v>12</v>
      </c>
      <c r="F961" s="2" t="s">
        <v>0</v>
      </c>
      <c r="G961" s="2" t="str">
        <f>"02"</f>
        <v>02</v>
      </c>
      <c r="H961" s="3">
        <v>552</v>
      </c>
    </row>
    <row r="962" spans="1:8" ht="29.25" x14ac:dyDescent="0.25">
      <c r="A962" s="2" t="str">
        <f>"00027602"</f>
        <v>00027602</v>
      </c>
      <c r="B962" s="2" t="str">
        <f t="shared" si="42"/>
        <v>SG</v>
      </c>
      <c r="C962" s="4" t="s">
        <v>637</v>
      </c>
      <c r="D962" s="4" t="s">
        <v>0</v>
      </c>
      <c r="E962" s="4" t="s">
        <v>12</v>
      </c>
      <c r="F962" s="2" t="s">
        <v>0</v>
      </c>
      <c r="G962" s="2" t="str">
        <f>"04"</f>
        <v>04</v>
      </c>
      <c r="H962" s="3">
        <v>785</v>
      </c>
    </row>
    <row r="963" spans="1:8" x14ac:dyDescent="0.25">
      <c r="A963" s="2" t="str">
        <f>"00027603"</f>
        <v>00027603</v>
      </c>
      <c r="B963" s="2" t="str">
        <f t="shared" si="42"/>
        <v>SG</v>
      </c>
      <c r="C963" s="4" t="s">
        <v>638</v>
      </c>
      <c r="D963" s="4" t="s">
        <v>0</v>
      </c>
      <c r="E963" s="4" t="s">
        <v>12</v>
      </c>
      <c r="F963" s="2" t="s">
        <v>0</v>
      </c>
      <c r="G963" s="2" t="str">
        <f>"02"</f>
        <v>02</v>
      </c>
      <c r="H963" s="3">
        <v>552</v>
      </c>
    </row>
    <row r="964" spans="1:8" x14ac:dyDescent="0.25">
      <c r="A964" s="2" t="str">
        <f>"00027604"</f>
        <v>00027604</v>
      </c>
      <c r="B964" s="2" t="str">
        <f t="shared" si="42"/>
        <v>SG</v>
      </c>
      <c r="C964" s="4" t="s">
        <v>639</v>
      </c>
      <c r="D964" s="4" t="s">
        <v>0</v>
      </c>
      <c r="E964" s="4" t="s">
        <v>12</v>
      </c>
      <c r="F964" s="2" t="s">
        <v>0</v>
      </c>
      <c r="G964" s="2" t="str">
        <f>"04"</f>
        <v>04</v>
      </c>
      <c r="H964" s="3">
        <v>785</v>
      </c>
    </row>
    <row r="965" spans="1:8" ht="29.25" x14ac:dyDescent="0.25">
      <c r="A965" s="2" t="str">
        <f>"00027605"</f>
        <v>00027605</v>
      </c>
      <c r="B965" s="2" t="str">
        <f t="shared" si="42"/>
        <v>SG</v>
      </c>
      <c r="C965" s="4" t="s">
        <v>640</v>
      </c>
      <c r="D965" s="4" t="s">
        <v>0</v>
      </c>
      <c r="E965" s="4" t="s">
        <v>12</v>
      </c>
      <c r="F965" s="2" t="s">
        <v>0</v>
      </c>
      <c r="G965" s="2" t="str">
        <f>"02"</f>
        <v>02</v>
      </c>
      <c r="H965" s="3">
        <v>552</v>
      </c>
    </row>
    <row r="966" spans="1:8" ht="29.25" x14ac:dyDescent="0.25">
      <c r="A966" s="2" t="str">
        <f>"00027606"</f>
        <v>00027606</v>
      </c>
      <c r="B966" s="2" t="str">
        <f t="shared" si="42"/>
        <v>SG</v>
      </c>
      <c r="C966" s="4" t="s">
        <v>640</v>
      </c>
      <c r="D966" s="4" t="s">
        <v>0</v>
      </c>
      <c r="E966" s="4" t="s">
        <v>12</v>
      </c>
      <c r="F966" s="2" t="s">
        <v>0</v>
      </c>
      <c r="G966" s="2" t="str">
        <f>"02"</f>
        <v>02</v>
      </c>
      <c r="H966" s="3">
        <v>552</v>
      </c>
    </row>
    <row r="967" spans="1:8" ht="29.25" x14ac:dyDescent="0.25">
      <c r="A967" s="2" t="str">
        <f>"00027607"</f>
        <v>00027607</v>
      </c>
      <c r="B967" s="2" t="str">
        <f t="shared" si="42"/>
        <v>SG</v>
      </c>
      <c r="C967" s="4" t="s">
        <v>641</v>
      </c>
      <c r="D967" s="4" t="s">
        <v>0</v>
      </c>
      <c r="E967" s="4" t="s">
        <v>12</v>
      </c>
      <c r="F967" s="2" t="s">
        <v>0</v>
      </c>
      <c r="G967" s="2" t="str">
        <f>"02"</f>
        <v>02</v>
      </c>
      <c r="H967" s="3">
        <v>552</v>
      </c>
    </row>
    <row r="968" spans="1:8" ht="29.25" x14ac:dyDescent="0.25">
      <c r="A968" s="2" t="str">
        <f>"00027610"</f>
        <v>00027610</v>
      </c>
      <c r="B968" s="2" t="str">
        <f t="shared" si="42"/>
        <v>SG</v>
      </c>
      <c r="C968" s="4" t="s">
        <v>642</v>
      </c>
      <c r="D968" s="4" t="s">
        <v>0</v>
      </c>
      <c r="E968" s="4" t="s">
        <v>12</v>
      </c>
      <c r="F968" s="2" t="s">
        <v>0</v>
      </c>
      <c r="G968" s="2" t="str">
        <f>"04"</f>
        <v>04</v>
      </c>
      <c r="H968" s="3">
        <v>785</v>
      </c>
    </row>
    <row r="969" spans="1:8" ht="29.25" x14ac:dyDescent="0.25">
      <c r="A969" s="2" t="str">
        <f>"00027612"</f>
        <v>00027612</v>
      </c>
      <c r="B969" s="2" t="str">
        <f t="shared" si="42"/>
        <v>SG</v>
      </c>
      <c r="C969" s="4" t="s">
        <v>643</v>
      </c>
      <c r="D969" s="4" t="s">
        <v>0</v>
      </c>
      <c r="E969" s="4" t="s">
        <v>12</v>
      </c>
      <c r="F969" s="2" t="s">
        <v>0</v>
      </c>
      <c r="G969" s="2" t="str">
        <f>"04"</f>
        <v>04</v>
      </c>
      <c r="H969" s="3">
        <v>785</v>
      </c>
    </row>
    <row r="970" spans="1:8" ht="29.25" x14ac:dyDescent="0.25">
      <c r="A970" s="2" t="str">
        <f>"00027614"</f>
        <v>00027614</v>
      </c>
      <c r="B970" s="2" t="str">
        <f t="shared" si="42"/>
        <v>SG</v>
      </c>
      <c r="C970" s="4" t="s">
        <v>644</v>
      </c>
      <c r="D970" s="4" t="s">
        <v>0</v>
      </c>
      <c r="E970" s="4" t="s">
        <v>12</v>
      </c>
      <c r="F970" s="2" t="s">
        <v>0</v>
      </c>
      <c r="G970" s="2" t="str">
        <f>"02"</f>
        <v>02</v>
      </c>
      <c r="H970" s="3">
        <v>552</v>
      </c>
    </row>
    <row r="971" spans="1:8" ht="29.25" x14ac:dyDescent="0.25">
      <c r="A971" s="2" t="str">
        <f>"00027615"</f>
        <v>00027615</v>
      </c>
      <c r="B971" s="2" t="str">
        <f t="shared" si="42"/>
        <v>SG</v>
      </c>
      <c r="C971" s="4" t="s">
        <v>645</v>
      </c>
      <c r="D971" s="4" t="s">
        <v>0</v>
      </c>
      <c r="E971" s="4" t="s">
        <v>12</v>
      </c>
      <c r="F971" s="2" t="s">
        <v>0</v>
      </c>
      <c r="G971" s="2" t="str">
        <f>"01"</f>
        <v>01</v>
      </c>
      <c r="H971" s="3">
        <v>413</v>
      </c>
    </row>
    <row r="972" spans="1:8" ht="29.25" x14ac:dyDescent="0.25">
      <c r="A972" s="2" t="str">
        <f>"00027616"</f>
        <v>00027616</v>
      </c>
      <c r="B972" s="2" t="str">
        <f t="shared" si="42"/>
        <v>SG</v>
      </c>
      <c r="C972" s="4" t="s">
        <v>646</v>
      </c>
      <c r="D972" s="4" t="s">
        <v>0</v>
      </c>
      <c r="E972" s="4" t="s">
        <v>12</v>
      </c>
      <c r="F972" s="2" t="s">
        <v>0</v>
      </c>
      <c r="G972" s="2" t="str">
        <f>"02"</f>
        <v>02</v>
      </c>
      <c r="H972" s="3">
        <v>552</v>
      </c>
    </row>
    <row r="973" spans="1:8" ht="29.25" x14ac:dyDescent="0.25">
      <c r="A973" s="2" t="str">
        <f>"00027618"</f>
        <v>00027618</v>
      </c>
      <c r="B973" s="2" t="str">
        <f t="shared" ref="B973:B1036" si="44">"SG"</f>
        <v>SG</v>
      </c>
      <c r="C973" s="4" t="s">
        <v>647</v>
      </c>
      <c r="D973" s="4" t="s">
        <v>0</v>
      </c>
      <c r="E973" s="4" t="s">
        <v>12</v>
      </c>
      <c r="F973" s="2" t="s">
        <v>0</v>
      </c>
      <c r="G973" s="2" t="str">
        <f>"01"</f>
        <v>01</v>
      </c>
      <c r="H973" s="3">
        <v>413</v>
      </c>
    </row>
    <row r="974" spans="1:8" ht="29.25" x14ac:dyDescent="0.25">
      <c r="A974" s="2" t="str">
        <f>"00027619"</f>
        <v>00027619</v>
      </c>
      <c r="B974" s="2" t="str">
        <f t="shared" si="44"/>
        <v>SG</v>
      </c>
      <c r="C974" s="4" t="s">
        <v>647</v>
      </c>
      <c r="D974" s="4" t="s">
        <v>0</v>
      </c>
      <c r="E974" s="4" t="s">
        <v>12</v>
      </c>
      <c r="F974" s="2" t="s">
        <v>0</v>
      </c>
      <c r="G974" s="2" t="str">
        <f>"01"</f>
        <v>01</v>
      </c>
      <c r="H974" s="3">
        <v>413</v>
      </c>
    </row>
    <row r="975" spans="1:8" ht="29.25" x14ac:dyDescent="0.25">
      <c r="A975" s="2" t="str">
        <f>"00027620"</f>
        <v>00027620</v>
      </c>
      <c r="B975" s="2" t="str">
        <f t="shared" si="44"/>
        <v>SG</v>
      </c>
      <c r="C975" s="4" t="s">
        <v>642</v>
      </c>
      <c r="D975" s="4" t="s">
        <v>0</v>
      </c>
      <c r="E975" s="4" t="s">
        <v>12</v>
      </c>
      <c r="F975" s="2" t="s">
        <v>0</v>
      </c>
      <c r="G975" s="2" t="str">
        <f>"04"</f>
        <v>04</v>
      </c>
      <c r="H975" s="3">
        <v>785</v>
      </c>
    </row>
    <row r="976" spans="1:8" ht="29.25" x14ac:dyDescent="0.25">
      <c r="A976" s="2" t="str">
        <f>"00027625"</f>
        <v>00027625</v>
      </c>
      <c r="B976" s="2" t="str">
        <f t="shared" si="44"/>
        <v>SG</v>
      </c>
      <c r="C976" s="4" t="s">
        <v>648</v>
      </c>
      <c r="D976" s="4" t="s">
        <v>0</v>
      </c>
      <c r="E976" s="4" t="s">
        <v>12</v>
      </c>
      <c r="F976" s="2" t="s">
        <v>0</v>
      </c>
      <c r="G976" s="2" t="str">
        <f>"04"</f>
        <v>04</v>
      </c>
      <c r="H976" s="3">
        <v>785</v>
      </c>
    </row>
    <row r="977" spans="1:8" ht="29.25" x14ac:dyDescent="0.25">
      <c r="A977" s="2" t="str">
        <f>"00027626"</f>
        <v>00027626</v>
      </c>
      <c r="B977" s="2" t="str">
        <f t="shared" si="44"/>
        <v>SG</v>
      </c>
      <c r="C977" s="4" t="s">
        <v>648</v>
      </c>
      <c r="D977" s="4" t="s">
        <v>0</v>
      </c>
      <c r="E977" s="4" t="s">
        <v>12</v>
      </c>
      <c r="F977" s="2" t="s">
        <v>0</v>
      </c>
      <c r="G977" s="2" t="str">
        <f>"04"</f>
        <v>04</v>
      </c>
      <c r="H977" s="3">
        <v>785</v>
      </c>
    </row>
    <row r="978" spans="1:8" ht="29.25" x14ac:dyDescent="0.25">
      <c r="A978" s="2" t="str">
        <f>"00027630"</f>
        <v>00027630</v>
      </c>
      <c r="B978" s="2" t="str">
        <f t="shared" si="44"/>
        <v>SG</v>
      </c>
      <c r="C978" s="4" t="s">
        <v>649</v>
      </c>
      <c r="D978" s="4" t="s">
        <v>0</v>
      </c>
      <c r="E978" s="4" t="s">
        <v>12</v>
      </c>
      <c r="F978" s="2" t="s">
        <v>0</v>
      </c>
      <c r="G978" s="2" t="str">
        <f>"02"</f>
        <v>02</v>
      </c>
      <c r="H978" s="3">
        <v>552</v>
      </c>
    </row>
    <row r="979" spans="1:8" ht="29.25" x14ac:dyDescent="0.25">
      <c r="A979" s="2" t="str">
        <f>"00027632"</f>
        <v>00027632</v>
      </c>
      <c r="B979" s="2" t="str">
        <f t="shared" si="44"/>
        <v>SG</v>
      </c>
      <c r="C979" s="4" t="s">
        <v>650</v>
      </c>
      <c r="D979" s="4" t="s">
        <v>0</v>
      </c>
      <c r="E979" s="4" t="s">
        <v>12</v>
      </c>
      <c r="F979" s="2" t="s">
        <v>0</v>
      </c>
      <c r="G979" s="2" t="str">
        <f>"02"</f>
        <v>02</v>
      </c>
      <c r="H979" s="3">
        <v>552</v>
      </c>
    </row>
    <row r="980" spans="1:8" ht="29.25" x14ac:dyDescent="0.25">
      <c r="A980" s="2" t="str">
        <f>"00027634"</f>
        <v>00027634</v>
      </c>
      <c r="B980" s="2" t="str">
        <f t="shared" si="44"/>
        <v>SG</v>
      </c>
      <c r="C980" s="4" t="s">
        <v>651</v>
      </c>
      <c r="D980" s="4" t="s">
        <v>0</v>
      </c>
      <c r="E980" s="4" t="s">
        <v>12</v>
      </c>
      <c r="F980" s="2" t="s">
        <v>0</v>
      </c>
      <c r="G980" s="2" t="str">
        <f>"02"</f>
        <v>02</v>
      </c>
      <c r="H980" s="3">
        <v>552</v>
      </c>
    </row>
    <row r="981" spans="1:8" ht="29.25" x14ac:dyDescent="0.25">
      <c r="A981" s="2" t="str">
        <f>"00027635"</f>
        <v>00027635</v>
      </c>
      <c r="B981" s="2" t="str">
        <f t="shared" si="44"/>
        <v>SG</v>
      </c>
      <c r="C981" s="4" t="s">
        <v>652</v>
      </c>
      <c r="D981" s="4" t="s">
        <v>0</v>
      </c>
      <c r="E981" s="4" t="s">
        <v>12</v>
      </c>
      <c r="F981" s="2" t="s">
        <v>0</v>
      </c>
      <c r="G981" s="2" t="str">
        <f t="shared" ref="G981:G986" si="45">"04"</f>
        <v>04</v>
      </c>
      <c r="H981" s="3">
        <v>785</v>
      </c>
    </row>
    <row r="982" spans="1:8" ht="29.25" x14ac:dyDescent="0.25">
      <c r="A982" s="2" t="str">
        <f>"00027637"</f>
        <v>00027637</v>
      </c>
      <c r="B982" s="2" t="str">
        <f t="shared" si="44"/>
        <v>SG</v>
      </c>
      <c r="C982" s="4" t="s">
        <v>653</v>
      </c>
      <c r="D982" s="4" t="s">
        <v>0</v>
      </c>
      <c r="E982" s="4" t="s">
        <v>12</v>
      </c>
      <c r="F982" s="2" t="s">
        <v>0</v>
      </c>
      <c r="G982" s="2" t="str">
        <f t="shared" si="45"/>
        <v>04</v>
      </c>
      <c r="H982" s="3">
        <v>785</v>
      </c>
    </row>
    <row r="983" spans="1:8" ht="29.25" x14ac:dyDescent="0.25">
      <c r="A983" s="2" t="str">
        <f>"00027638"</f>
        <v>00027638</v>
      </c>
      <c r="B983" s="2" t="str">
        <f t="shared" si="44"/>
        <v>SG</v>
      </c>
      <c r="C983" s="4" t="s">
        <v>653</v>
      </c>
      <c r="D983" s="4" t="s">
        <v>0</v>
      </c>
      <c r="E983" s="4" t="s">
        <v>12</v>
      </c>
      <c r="F983" s="2" t="s">
        <v>0</v>
      </c>
      <c r="G983" s="2" t="str">
        <f t="shared" si="45"/>
        <v>04</v>
      </c>
      <c r="H983" s="3">
        <v>785</v>
      </c>
    </row>
    <row r="984" spans="1:8" x14ac:dyDescent="0.25">
      <c r="A984" s="2" t="str">
        <f>"00027640"</f>
        <v>00027640</v>
      </c>
      <c r="B984" s="2" t="str">
        <f t="shared" si="44"/>
        <v>SG</v>
      </c>
      <c r="C984" s="4" t="s">
        <v>654</v>
      </c>
      <c r="D984" s="4" t="s">
        <v>0</v>
      </c>
      <c r="E984" s="4" t="s">
        <v>12</v>
      </c>
      <c r="F984" s="2" t="s">
        <v>0</v>
      </c>
      <c r="G984" s="2" t="str">
        <f t="shared" si="45"/>
        <v>04</v>
      </c>
      <c r="H984" s="3">
        <v>785</v>
      </c>
    </row>
    <row r="985" spans="1:8" ht="29.25" x14ac:dyDescent="0.25">
      <c r="A985" s="2" t="str">
        <f>"00027641"</f>
        <v>00027641</v>
      </c>
      <c r="B985" s="2" t="str">
        <f t="shared" si="44"/>
        <v>SG</v>
      </c>
      <c r="C985" s="4" t="s">
        <v>655</v>
      </c>
      <c r="D985" s="4" t="s">
        <v>0</v>
      </c>
      <c r="E985" s="4" t="s">
        <v>12</v>
      </c>
      <c r="F985" s="2" t="s">
        <v>0</v>
      </c>
      <c r="G985" s="2" t="str">
        <f t="shared" si="45"/>
        <v>04</v>
      </c>
      <c r="H985" s="3">
        <v>785</v>
      </c>
    </row>
    <row r="986" spans="1:8" ht="29.25" x14ac:dyDescent="0.25">
      <c r="A986" s="2" t="str">
        <f>"00027647"</f>
        <v>00027647</v>
      </c>
      <c r="B986" s="2" t="str">
        <f t="shared" si="44"/>
        <v>SG</v>
      </c>
      <c r="C986" s="4" t="s">
        <v>656</v>
      </c>
      <c r="D986" s="4" t="s">
        <v>0</v>
      </c>
      <c r="E986" s="4" t="s">
        <v>12</v>
      </c>
      <c r="F986" s="2" t="s">
        <v>0</v>
      </c>
      <c r="G986" s="2" t="str">
        <f t="shared" si="45"/>
        <v>04</v>
      </c>
      <c r="H986" s="3">
        <v>785</v>
      </c>
    </row>
    <row r="987" spans="1:8" x14ac:dyDescent="0.25">
      <c r="A987" s="2" t="str">
        <f>"00027650"</f>
        <v>00027650</v>
      </c>
      <c r="B987" s="2" t="str">
        <f t="shared" si="44"/>
        <v>SG</v>
      </c>
      <c r="C987" s="4" t="s">
        <v>657</v>
      </c>
      <c r="D987" s="4" t="s">
        <v>0</v>
      </c>
      <c r="E987" s="4" t="s">
        <v>12</v>
      </c>
      <c r="F987" s="2" t="s">
        <v>0</v>
      </c>
      <c r="G987" s="2" t="str">
        <f>"07"</f>
        <v>07</v>
      </c>
      <c r="H987" s="3">
        <v>1233</v>
      </c>
    </row>
    <row r="988" spans="1:8" ht="29.25" x14ac:dyDescent="0.25">
      <c r="A988" s="2" t="str">
        <f>"00027652"</f>
        <v>00027652</v>
      </c>
      <c r="B988" s="2" t="str">
        <f t="shared" si="44"/>
        <v>SG</v>
      </c>
      <c r="C988" s="4" t="s">
        <v>658</v>
      </c>
      <c r="D988" s="4" t="s">
        <v>0</v>
      </c>
      <c r="E988" s="4" t="s">
        <v>12</v>
      </c>
      <c r="F988" s="2" t="s">
        <v>0</v>
      </c>
      <c r="G988" s="2" t="str">
        <f>"07"</f>
        <v>07</v>
      </c>
      <c r="H988" s="3">
        <v>1233</v>
      </c>
    </row>
    <row r="989" spans="1:8" ht="29.25" x14ac:dyDescent="0.25">
      <c r="A989" s="2" t="str">
        <f>"00027654"</f>
        <v>00027654</v>
      </c>
      <c r="B989" s="2" t="str">
        <f t="shared" si="44"/>
        <v>SG</v>
      </c>
      <c r="C989" s="4" t="s">
        <v>659</v>
      </c>
      <c r="D989" s="4" t="s">
        <v>0</v>
      </c>
      <c r="E989" s="4" t="s">
        <v>12</v>
      </c>
      <c r="F989" s="2" t="s">
        <v>0</v>
      </c>
      <c r="G989" s="2" t="str">
        <f>"07"</f>
        <v>07</v>
      </c>
      <c r="H989" s="3">
        <v>1233</v>
      </c>
    </row>
    <row r="990" spans="1:8" ht="29.25" x14ac:dyDescent="0.25">
      <c r="A990" s="2" t="str">
        <f>"00027656"</f>
        <v>00027656</v>
      </c>
      <c r="B990" s="2" t="str">
        <f t="shared" si="44"/>
        <v>SG</v>
      </c>
      <c r="C990" s="4" t="s">
        <v>660</v>
      </c>
      <c r="D990" s="4" t="s">
        <v>0</v>
      </c>
      <c r="E990" s="4" t="s">
        <v>12</v>
      </c>
      <c r="F990" s="2" t="s">
        <v>0</v>
      </c>
      <c r="G990" s="2" t="str">
        <f>"02"</f>
        <v>02</v>
      </c>
      <c r="H990" s="3">
        <v>552</v>
      </c>
    </row>
    <row r="991" spans="1:8" ht="29.25" x14ac:dyDescent="0.25">
      <c r="A991" s="2" t="str">
        <f>"00027658"</f>
        <v>00027658</v>
      </c>
      <c r="B991" s="2" t="str">
        <f t="shared" si="44"/>
        <v>SG</v>
      </c>
      <c r="C991" s="4" t="s">
        <v>661</v>
      </c>
      <c r="D991" s="4" t="s">
        <v>0</v>
      </c>
      <c r="E991" s="4" t="s">
        <v>12</v>
      </c>
      <c r="F991" s="2" t="s">
        <v>0</v>
      </c>
      <c r="G991" s="2" t="str">
        <f>"02"</f>
        <v>02</v>
      </c>
      <c r="H991" s="3">
        <v>552</v>
      </c>
    </row>
    <row r="992" spans="1:8" ht="29.25" x14ac:dyDescent="0.25">
      <c r="A992" s="2" t="str">
        <f>"00027659"</f>
        <v>00027659</v>
      </c>
      <c r="B992" s="2" t="str">
        <f t="shared" si="44"/>
        <v>SG</v>
      </c>
      <c r="C992" s="4" t="s">
        <v>661</v>
      </c>
      <c r="D992" s="4" t="s">
        <v>0</v>
      </c>
      <c r="E992" s="4" t="s">
        <v>12</v>
      </c>
      <c r="F992" s="2" t="s">
        <v>0</v>
      </c>
      <c r="G992" s="2" t="str">
        <f>"02"</f>
        <v>02</v>
      </c>
      <c r="H992" s="3">
        <v>552</v>
      </c>
    </row>
    <row r="993" spans="1:8" ht="29.25" x14ac:dyDescent="0.25">
      <c r="A993" s="2" t="str">
        <f>"00027664"</f>
        <v>00027664</v>
      </c>
      <c r="B993" s="2" t="str">
        <f t="shared" si="44"/>
        <v>SG</v>
      </c>
      <c r="C993" s="4" t="s">
        <v>661</v>
      </c>
      <c r="D993" s="4" t="s">
        <v>0</v>
      </c>
      <c r="E993" s="4" t="s">
        <v>12</v>
      </c>
      <c r="F993" s="2" t="s">
        <v>0</v>
      </c>
      <c r="G993" s="2" t="str">
        <f>"04"</f>
        <v>04</v>
      </c>
      <c r="H993" s="3">
        <v>785</v>
      </c>
    </row>
    <row r="994" spans="1:8" ht="29.25" x14ac:dyDescent="0.25">
      <c r="A994" s="2" t="str">
        <f>"00027665"</f>
        <v>00027665</v>
      </c>
      <c r="B994" s="2" t="str">
        <f t="shared" si="44"/>
        <v>SG</v>
      </c>
      <c r="C994" s="4" t="s">
        <v>661</v>
      </c>
      <c r="D994" s="4" t="s">
        <v>0</v>
      </c>
      <c r="E994" s="4" t="s">
        <v>12</v>
      </c>
      <c r="F994" s="2" t="s">
        <v>0</v>
      </c>
      <c r="G994" s="2" t="str">
        <f>"04"</f>
        <v>04</v>
      </c>
      <c r="H994" s="3">
        <v>785</v>
      </c>
    </row>
    <row r="995" spans="1:8" ht="29.25" x14ac:dyDescent="0.25">
      <c r="A995" s="2" t="str">
        <f>"00027675"</f>
        <v>00027675</v>
      </c>
      <c r="B995" s="2" t="str">
        <f t="shared" si="44"/>
        <v>SG</v>
      </c>
      <c r="C995" s="4" t="s">
        <v>662</v>
      </c>
      <c r="D995" s="4" t="s">
        <v>0</v>
      </c>
      <c r="E995" s="4" t="s">
        <v>12</v>
      </c>
      <c r="F995" s="2" t="s">
        <v>0</v>
      </c>
      <c r="G995" s="2" t="str">
        <f>"02"</f>
        <v>02</v>
      </c>
      <c r="H995" s="3">
        <v>552</v>
      </c>
    </row>
    <row r="996" spans="1:8" ht="29.25" x14ac:dyDescent="0.25">
      <c r="A996" s="2" t="str">
        <f>"00027676"</f>
        <v>00027676</v>
      </c>
      <c r="B996" s="2" t="str">
        <f t="shared" si="44"/>
        <v>SG</v>
      </c>
      <c r="C996" s="4" t="s">
        <v>662</v>
      </c>
      <c r="D996" s="4" t="s">
        <v>0</v>
      </c>
      <c r="E996" s="4" t="s">
        <v>12</v>
      </c>
      <c r="F996" s="2" t="s">
        <v>0</v>
      </c>
      <c r="G996" s="2" t="str">
        <f t="shared" ref="G996:G1001" si="46">"04"</f>
        <v>04</v>
      </c>
      <c r="H996" s="3">
        <v>785</v>
      </c>
    </row>
    <row r="997" spans="1:8" ht="29.25" x14ac:dyDescent="0.25">
      <c r="A997" s="2" t="str">
        <f>"00027680"</f>
        <v>00027680</v>
      </c>
      <c r="B997" s="2" t="str">
        <f t="shared" si="44"/>
        <v>SG</v>
      </c>
      <c r="C997" s="4" t="s">
        <v>663</v>
      </c>
      <c r="D997" s="4" t="s">
        <v>0</v>
      </c>
      <c r="E997" s="4" t="s">
        <v>12</v>
      </c>
      <c r="F997" s="2" t="s">
        <v>0</v>
      </c>
      <c r="G997" s="2" t="str">
        <f t="shared" si="46"/>
        <v>04</v>
      </c>
      <c r="H997" s="3">
        <v>785</v>
      </c>
    </row>
    <row r="998" spans="1:8" ht="29.25" x14ac:dyDescent="0.25">
      <c r="A998" s="2" t="str">
        <f>"00027681"</f>
        <v>00027681</v>
      </c>
      <c r="B998" s="2" t="str">
        <f t="shared" si="44"/>
        <v>SG</v>
      </c>
      <c r="C998" s="4" t="s">
        <v>664</v>
      </c>
      <c r="D998" s="4" t="s">
        <v>0</v>
      </c>
      <c r="E998" s="4" t="s">
        <v>12</v>
      </c>
      <c r="F998" s="2" t="s">
        <v>0</v>
      </c>
      <c r="G998" s="2" t="str">
        <f t="shared" si="46"/>
        <v>04</v>
      </c>
      <c r="H998" s="3">
        <v>785</v>
      </c>
    </row>
    <row r="999" spans="1:8" ht="29.25" x14ac:dyDescent="0.25">
      <c r="A999" s="2" t="str">
        <f>"00027685"</f>
        <v>00027685</v>
      </c>
      <c r="B999" s="2" t="str">
        <f t="shared" si="44"/>
        <v>SG</v>
      </c>
      <c r="C999" s="4" t="s">
        <v>665</v>
      </c>
      <c r="D999" s="4" t="s">
        <v>0</v>
      </c>
      <c r="E999" s="4" t="s">
        <v>12</v>
      </c>
      <c r="F999" s="2" t="s">
        <v>0</v>
      </c>
      <c r="G999" s="2" t="str">
        <f t="shared" si="46"/>
        <v>04</v>
      </c>
      <c r="H999" s="3">
        <v>785</v>
      </c>
    </row>
    <row r="1000" spans="1:8" ht="29.25" x14ac:dyDescent="0.25">
      <c r="A1000" s="2" t="str">
        <f>"00027686"</f>
        <v>00027686</v>
      </c>
      <c r="B1000" s="2" t="str">
        <f t="shared" si="44"/>
        <v>SG</v>
      </c>
      <c r="C1000" s="4" t="s">
        <v>666</v>
      </c>
      <c r="D1000" s="4" t="s">
        <v>0</v>
      </c>
      <c r="E1000" s="4" t="s">
        <v>12</v>
      </c>
      <c r="F1000" s="2" t="s">
        <v>0</v>
      </c>
      <c r="G1000" s="2" t="str">
        <f t="shared" si="46"/>
        <v>04</v>
      </c>
      <c r="H1000" s="3">
        <v>785</v>
      </c>
    </row>
    <row r="1001" spans="1:8" x14ac:dyDescent="0.25">
      <c r="A1001" s="2" t="str">
        <f>"00027687"</f>
        <v>00027687</v>
      </c>
      <c r="B1001" s="2" t="str">
        <f t="shared" si="44"/>
        <v>SG</v>
      </c>
      <c r="C1001" s="4" t="s">
        <v>667</v>
      </c>
      <c r="D1001" s="4" t="s">
        <v>0</v>
      </c>
      <c r="E1001" s="4" t="s">
        <v>12</v>
      </c>
      <c r="F1001" s="2" t="s">
        <v>0</v>
      </c>
      <c r="G1001" s="2" t="str">
        <f t="shared" si="46"/>
        <v>04</v>
      </c>
      <c r="H1001" s="3">
        <v>785</v>
      </c>
    </row>
    <row r="1002" spans="1:8" ht="29.25" x14ac:dyDescent="0.25">
      <c r="A1002" s="2" t="str">
        <f>"00027690"</f>
        <v>00027690</v>
      </c>
      <c r="B1002" s="2" t="str">
        <f t="shared" si="44"/>
        <v>SG</v>
      </c>
      <c r="C1002" s="4" t="s">
        <v>668</v>
      </c>
      <c r="D1002" s="4" t="s">
        <v>0</v>
      </c>
      <c r="E1002" s="4" t="s">
        <v>12</v>
      </c>
      <c r="F1002" s="2" t="s">
        <v>0</v>
      </c>
      <c r="G1002" s="2" t="str">
        <f>"07"</f>
        <v>07</v>
      </c>
      <c r="H1002" s="3">
        <v>1233</v>
      </c>
    </row>
    <row r="1003" spans="1:8" ht="29.25" x14ac:dyDescent="0.25">
      <c r="A1003" s="2" t="str">
        <f>"00027691"</f>
        <v>00027691</v>
      </c>
      <c r="B1003" s="2" t="str">
        <f t="shared" si="44"/>
        <v>SG</v>
      </c>
      <c r="C1003" s="4" t="s">
        <v>668</v>
      </c>
      <c r="D1003" s="4" t="s">
        <v>0</v>
      </c>
      <c r="E1003" s="4" t="s">
        <v>12</v>
      </c>
      <c r="F1003" s="2" t="s">
        <v>0</v>
      </c>
      <c r="G1003" s="2" t="str">
        <f>"07"</f>
        <v>07</v>
      </c>
      <c r="H1003" s="3">
        <v>1233</v>
      </c>
    </row>
    <row r="1004" spans="1:8" ht="29.25" x14ac:dyDescent="0.25">
      <c r="A1004" s="2" t="str">
        <f>"00027692"</f>
        <v>00027692</v>
      </c>
      <c r="B1004" s="2" t="str">
        <f t="shared" si="44"/>
        <v>SG</v>
      </c>
      <c r="C1004" s="4" t="s">
        <v>669</v>
      </c>
      <c r="D1004" s="4" t="s">
        <v>0</v>
      </c>
      <c r="E1004" s="4" t="s">
        <v>12</v>
      </c>
      <c r="F1004" s="2" t="s">
        <v>0</v>
      </c>
      <c r="G1004" s="2" t="str">
        <f>"01"</f>
        <v>01</v>
      </c>
      <c r="H1004" s="3">
        <v>413</v>
      </c>
    </row>
    <row r="1005" spans="1:8" ht="29.25" x14ac:dyDescent="0.25">
      <c r="A1005" s="2" t="str">
        <f>"00027695"</f>
        <v>00027695</v>
      </c>
      <c r="B1005" s="2" t="str">
        <f t="shared" si="44"/>
        <v>SG</v>
      </c>
      <c r="C1005" s="4" t="s">
        <v>670</v>
      </c>
      <c r="D1005" s="4" t="s">
        <v>0</v>
      </c>
      <c r="E1005" s="4" t="s">
        <v>12</v>
      </c>
      <c r="F1005" s="2" t="s">
        <v>0</v>
      </c>
      <c r="G1005" s="2" t="str">
        <f>"04"</f>
        <v>04</v>
      </c>
      <c r="H1005" s="3">
        <v>785</v>
      </c>
    </row>
    <row r="1006" spans="1:8" ht="29.25" x14ac:dyDescent="0.25">
      <c r="A1006" s="2" t="str">
        <f>"00027696"</f>
        <v>00027696</v>
      </c>
      <c r="B1006" s="2" t="str">
        <f t="shared" si="44"/>
        <v>SG</v>
      </c>
      <c r="C1006" s="4" t="s">
        <v>671</v>
      </c>
      <c r="D1006" s="4" t="s">
        <v>0</v>
      </c>
      <c r="E1006" s="4" t="s">
        <v>12</v>
      </c>
      <c r="F1006" s="2" t="s">
        <v>0</v>
      </c>
      <c r="G1006" s="2" t="str">
        <f>"04"</f>
        <v>04</v>
      </c>
      <c r="H1006" s="3">
        <v>785</v>
      </c>
    </row>
    <row r="1007" spans="1:8" ht="29.25" x14ac:dyDescent="0.25">
      <c r="A1007" s="2" t="str">
        <f>"00027698"</f>
        <v>00027698</v>
      </c>
      <c r="B1007" s="2" t="str">
        <f t="shared" si="44"/>
        <v>SG</v>
      </c>
      <c r="C1007" s="4" t="s">
        <v>670</v>
      </c>
      <c r="D1007" s="4" t="s">
        <v>0</v>
      </c>
      <c r="E1007" s="4" t="s">
        <v>12</v>
      </c>
      <c r="F1007" s="2" t="s">
        <v>0</v>
      </c>
      <c r="G1007" s="2" t="str">
        <f>"04"</f>
        <v>04</v>
      </c>
      <c r="H1007" s="3">
        <v>785</v>
      </c>
    </row>
    <row r="1008" spans="1:8" x14ac:dyDescent="0.25">
      <c r="A1008" s="2" t="str">
        <f>"00027700"</f>
        <v>00027700</v>
      </c>
      <c r="B1008" s="2" t="str">
        <f t="shared" si="44"/>
        <v>SG</v>
      </c>
      <c r="C1008" s="4" t="s">
        <v>672</v>
      </c>
      <c r="D1008" s="4" t="s">
        <v>0</v>
      </c>
      <c r="E1008" s="4" t="s">
        <v>12</v>
      </c>
      <c r="F1008" s="2" t="s">
        <v>0</v>
      </c>
      <c r="G1008" s="2" t="str">
        <f>"06"</f>
        <v>06</v>
      </c>
      <c r="H1008" s="3">
        <v>1000</v>
      </c>
    </row>
    <row r="1009" spans="1:8" ht="29.25" x14ac:dyDescent="0.25">
      <c r="A1009" s="2" t="str">
        <f>"00027704"</f>
        <v>00027704</v>
      </c>
      <c r="B1009" s="2" t="str">
        <f t="shared" si="44"/>
        <v>SG</v>
      </c>
      <c r="C1009" s="4" t="s">
        <v>673</v>
      </c>
      <c r="D1009" s="4" t="s">
        <v>0</v>
      </c>
      <c r="E1009" s="4" t="s">
        <v>12</v>
      </c>
      <c r="F1009" s="2" t="s">
        <v>0</v>
      </c>
      <c r="G1009" s="2" t="str">
        <f>"02"</f>
        <v>02</v>
      </c>
      <c r="H1009" s="3">
        <v>552</v>
      </c>
    </row>
    <row r="1010" spans="1:8" x14ac:dyDescent="0.25">
      <c r="A1010" s="2" t="str">
        <f>"00027705"</f>
        <v>00027705</v>
      </c>
      <c r="B1010" s="2" t="str">
        <f t="shared" si="44"/>
        <v>SG</v>
      </c>
      <c r="C1010" s="4" t="s">
        <v>674</v>
      </c>
      <c r="D1010" s="4" t="s">
        <v>0</v>
      </c>
      <c r="E1010" s="4" t="s">
        <v>12</v>
      </c>
      <c r="F1010" s="2" t="s">
        <v>0</v>
      </c>
      <c r="G1010" s="2" t="str">
        <f>"07"</f>
        <v>07</v>
      </c>
      <c r="H1010" s="3">
        <v>1233</v>
      </c>
    </row>
    <row r="1011" spans="1:8" x14ac:dyDescent="0.25">
      <c r="A1011" s="2" t="str">
        <f>"00027707"</f>
        <v>00027707</v>
      </c>
      <c r="B1011" s="2" t="str">
        <f t="shared" si="44"/>
        <v>SG</v>
      </c>
      <c r="C1011" s="4" t="s">
        <v>675</v>
      </c>
      <c r="D1011" s="4" t="s">
        <v>0</v>
      </c>
      <c r="E1011" s="4" t="s">
        <v>12</v>
      </c>
      <c r="F1011" s="2" t="s">
        <v>0</v>
      </c>
      <c r="G1011" s="2" t="str">
        <f>"04"</f>
        <v>04</v>
      </c>
      <c r="H1011" s="3">
        <v>785</v>
      </c>
    </row>
    <row r="1012" spans="1:8" x14ac:dyDescent="0.25">
      <c r="A1012" s="2" t="str">
        <f>"00027709"</f>
        <v>00027709</v>
      </c>
      <c r="B1012" s="2" t="str">
        <f t="shared" si="44"/>
        <v>SG</v>
      </c>
      <c r="C1012" s="4" t="s">
        <v>676</v>
      </c>
      <c r="D1012" s="4" t="s">
        <v>0</v>
      </c>
      <c r="E1012" s="4" t="s">
        <v>12</v>
      </c>
      <c r="F1012" s="2" t="s">
        <v>0</v>
      </c>
      <c r="G1012" s="2" t="str">
        <f>"04"</f>
        <v>04</v>
      </c>
      <c r="H1012" s="3">
        <v>785</v>
      </c>
    </row>
    <row r="1013" spans="1:8" x14ac:dyDescent="0.25">
      <c r="A1013" s="2" t="str">
        <f>"00027730"</f>
        <v>00027730</v>
      </c>
      <c r="B1013" s="2" t="str">
        <f t="shared" si="44"/>
        <v>SG</v>
      </c>
      <c r="C1013" s="4" t="s">
        <v>677</v>
      </c>
      <c r="D1013" s="4" t="s">
        <v>0</v>
      </c>
      <c r="E1013" s="4" t="s">
        <v>12</v>
      </c>
      <c r="F1013" s="2" t="s">
        <v>0</v>
      </c>
      <c r="G1013" s="2" t="str">
        <f>"02"</f>
        <v>02</v>
      </c>
      <c r="H1013" s="3">
        <v>552</v>
      </c>
    </row>
    <row r="1014" spans="1:8" ht="29.25" x14ac:dyDescent="0.25">
      <c r="A1014" s="2" t="str">
        <f>"00027732"</f>
        <v>00027732</v>
      </c>
      <c r="B1014" s="2" t="str">
        <f t="shared" si="44"/>
        <v>SG</v>
      </c>
      <c r="C1014" s="4" t="s">
        <v>678</v>
      </c>
      <c r="D1014" s="4" t="s">
        <v>0</v>
      </c>
      <c r="E1014" s="4" t="s">
        <v>12</v>
      </c>
      <c r="F1014" s="2" t="s">
        <v>0</v>
      </c>
      <c r="G1014" s="2" t="str">
        <f>"04"</f>
        <v>04</v>
      </c>
      <c r="H1014" s="3">
        <v>785</v>
      </c>
    </row>
    <row r="1015" spans="1:8" ht="29.25" x14ac:dyDescent="0.25">
      <c r="A1015" s="2" t="str">
        <f>"00027734"</f>
        <v>00027734</v>
      </c>
      <c r="B1015" s="2" t="str">
        <f t="shared" si="44"/>
        <v>SG</v>
      </c>
      <c r="C1015" s="4" t="s">
        <v>679</v>
      </c>
      <c r="D1015" s="4" t="s">
        <v>0</v>
      </c>
      <c r="E1015" s="4" t="s">
        <v>12</v>
      </c>
      <c r="F1015" s="2" t="s">
        <v>0</v>
      </c>
      <c r="G1015" s="2" t="str">
        <f>"04"</f>
        <v>04</v>
      </c>
      <c r="H1015" s="3">
        <v>785</v>
      </c>
    </row>
    <row r="1016" spans="1:8" x14ac:dyDescent="0.25">
      <c r="A1016" s="2" t="str">
        <f>"00027740"</f>
        <v>00027740</v>
      </c>
      <c r="B1016" s="2" t="str">
        <f t="shared" si="44"/>
        <v>SG</v>
      </c>
      <c r="C1016" s="4" t="s">
        <v>680</v>
      </c>
      <c r="D1016" s="4" t="s">
        <v>0</v>
      </c>
      <c r="E1016" s="4" t="s">
        <v>12</v>
      </c>
      <c r="F1016" s="2" t="s">
        <v>0</v>
      </c>
      <c r="G1016" s="2" t="str">
        <f>"04"</f>
        <v>04</v>
      </c>
      <c r="H1016" s="3">
        <v>785</v>
      </c>
    </row>
    <row r="1017" spans="1:8" x14ac:dyDescent="0.25">
      <c r="A1017" s="2" t="str">
        <f>"00027742"</f>
        <v>00027742</v>
      </c>
      <c r="B1017" s="2" t="str">
        <f t="shared" si="44"/>
        <v>SG</v>
      </c>
      <c r="C1017" s="4" t="s">
        <v>680</v>
      </c>
      <c r="D1017" s="4" t="s">
        <v>0</v>
      </c>
      <c r="E1017" s="4" t="s">
        <v>12</v>
      </c>
      <c r="F1017" s="2" t="s">
        <v>0</v>
      </c>
      <c r="G1017" s="2" t="str">
        <f>"07"</f>
        <v>07</v>
      </c>
      <c r="H1017" s="3">
        <v>1233</v>
      </c>
    </row>
    <row r="1018" spans="1:8" x14ac:dyDescent="0.25">
      <c r="A1018" s="2" t="str">
        <f>"00027745"</f>
        <v>00027745</v>
      </c>
      <c r="B1018" s="2" t="str">
        <f t="shared" si="44"/>
        <v>SG</v>
      </c>
      <c r="C1018" s="4" t="s">
        <v>681</v>
      </c>
      <c r="D1018" s="4" t="s">
        <v>0</v>
      </c>
      <c r="E1018" s="4" t="s">
        <v>12</v>
      </c>
      <c r="F1018" s="2" t="s">
        <v>0</v>
      </c>
      <c r="G1018" s="2" t="str">
        <f>"09"</f>
        <v>09</v>
      </c>
      <c r="H1018" s="3">
        <v>1662</v>
      </c>
    </row>
    <row r="1019" spans="1:8" ht="29.25" x14ac:dyDescent="0.25">
      <c r="A1019" s="2" t="str">
        <f>"00027750"</f>
        <v>00027750</v>
      </c>
      <c r="B1019" s="2" t="str">
        <f t="shared" si="44"/>
        <v>SG</v>
      </c>
      <c r="C1019" s="4" t="s">
        <v>682</v>
      </c>
      <c r="D1019" s="4" t="s">
        <v>0</v>
      </c>
      <c r="E1019" s="4" t="s">
        <v>12</v>
      </c>
      <c r="F1019" s="2" t="s">
        <v>0</v>
      </c>
      <c r="G1019" s="2" t="str">
        <f>"01"</f>
        <v>01</v>
      </c>
      <c r="H1019" s="3">
        <v>413</v>
      </c>
    </row>
    <row r="1020" spans="1:8" ht="29.25" x14ac:dyDescent="0.25">
      <c r="A1020" s="2" t="str">
        <f>"00027752"</f>
        <v>00027752</v>
      </c>
      <c r="B1020" s="2" t="str">
        <f t="shared" si="44"/>
        <v>SG</v>
      </c>
      <c r="C1020" s="4" t="s">
        <v>682</v>
      </c>
      <c r="D1020" s="4" t="s">
        <v>0</v>
      </c>
      <c r="E1020" s="4" t="s">
        <v>12</v>
      </c>
      <c r="F1020" s="2" t="s">
        <v>0</v>
      </c>
      <c r="G1020" s="2" t="str">
        <f>"01"</f>
        <v>01</v>
      </c>
      <c r="H1020" s="3">
        <v>413</v>
      </c>
    </row>
    <row r="1021" spans="1:8" ht="29.25" x14ac:dyDescent="0.25">
      <c r="A1021" s="2" t="str">
        <f>"00027756"</f>
        <v>00027756</v>
      </c>
      <c r="B1021" s="2" t="str">
        <f t="shared" si="44"/>
        <v>SG</v>
      </c>
      <c r="C1021" s="4" t="s">
        <v>682</v>
      </c>
      <c r="D1021" s="4" t="s">
        <v>0</v>
      </c>
      <c r="E1021" s="4" t="s">
        <v>12</v>
      </c>
      <c r="F1021" s="2" t="s">
        <v>0</v>
      </c>
      <c r="G1021" s="2" t="str">
        <f>"03"</f>
        <v>03</v>
      </c>
      <c r="H1021" s="3">
        <v>637</v>
      </c>
    </row>
    <row r="1022" spans="1:8" ht="29.25" x14ac:dyDescent="0.25">
      <c r="A1022" s="2" t="str">
        <f>"00027758"</f>
        <v>00027758</v>
      </c>
      <c r="B1022" s="2" t="str">
        <f t="shared" si="44"/>
        <v>SG</v>
      </c>
      <c r="C1022" s="4" t="s">
        <v>682</v>
      </c>
      <c r="D1022" s="4" t="s">
        <v>0</v>
      </c>
      <c r="E1022" s="4" t="s">
        <v>12</v>
      </c>
      <c r="F1022" s="2" t="s">
        <v>0</v>
      </c>
      <c r="G1022" s="2" t="str">
        <f>"08"</f>
        <v>08</v>
      </c>
      <c r="H1022" s="3">
        <v>1183</v>
      </c>
    </row>
    <row r="1023" spans="1:8" ht="29.25" x14ac:dyDescent="0.25">
      <c r="A1023" s="2" t="str">
        <f>"00027759"</f>
        <v>00027759</v>
      </c>
      <c r="B1023" s="2" t="str">
        <f t="shared" si="44"/>
        <v>SG</v>
      </c>
      <c r="C1023" s="4" t="s">
        <v>682</v>
      </c>
      <c r="D1023" s="4" t="s">
        <v>0</v>
      </c>
      <c r="E1023" s="4" t="s">
        <v>12</v>
      </c>
      <c r="F1023" s="2" t="s">
        <v>0</v>
      </c>
      <c r="G1023" s="2" t="str">
        <f>"09"</f>
        <v>09</v>
      </c>
      <c r="H1023" s="3">
        <v>1662</v>
      </c>
    </row>
    <row r="1024" spans="1:8" ht="29.25" x14ac:dyDescent="0.25">
      <c r="A1024" s="2" t="str">
        <f>"00027760"</f>
        <v>00027760</v>
      </c>
      <c r="B1024" s="2" t="str">
        <f t="shared" si="44"/>
        <v>SG</v>
      </c>
      <c r="C1024" s="4" t="s">
        <v>683</v>
      </c>
      <c r="D1024" s="4" t="s">
        <v>0</v>
      </c>
      <c r="E1024" s="4" t="s">
        <v>12</v>
      </c>
      <c r="F1024" s="2" t="s">
        <v>0</v>
      </c>
      <c r="G1024" s="2" t="str">
        <f>"01"</f>
        <v>01</v>
      </c>
      <c r="H1024" s="3">
        <v>413</v>
      </c>
    </row>
    <row r="1025" spans="1:8" ht="29.25" x14ac:dyDescent="0.25">
      <c r="A1025" s="2" t="str">
        <f>"00027762"</f>
        <v>00027762</v>
      </c>
      <c r="B1025" s="2" t="str">
        <f t="shared" si="44"/>
        <v>SG</v>
      </c>
      <c r="C1025" s="4" t="s">
        <v>683</v>
      </c>
      <c r="D1025" s="4" t="s">
        <v>0</v>
      </c>
      <c r="E1025" s="4" t="s">
        <v>12</v>
      </c>
      <c r="F1025" s="2" t="s">
        <v>0</v>
      </c>
      <c r="G1025" s="2" t="str">
        <f>"01"</f>
        <v>01</v>
      </c>
      <c r="H1025" s="3">
        <v>413</v>
      </c>
    </row>
    <row r="1026" spans="1:8" ht="29.25" x14ac:dyDescent="0.25">
      <c r="A1026" s="2" t="str">
        <f>"00027766"</f>
        <v>00027766</v>
      </c>
      <c r="B1026" s="2" t="str">
        <f t="shared" si="44"/>
        <v>SG</v>
      </c>
      <c r="C1026" s="4" t="s">
        <v>683</v>
      </c>
      <c r="D1026" s="4" t="s">
        <v>0</v>
      </c>
      <c r="E1026" s="4" t="s">
        <v>12</v>
      </c>
      <c r="F1026" s="2" t="s">
        <v>0</v>
      </c>
      <c r="G1026" s="2" t="str">
        <f>"08"</f>
        <v>08</v>
      </c>
      <c r="H1026" s="3">
        <v>1183</v>
      </c>
    </row>
    <row r="1027" spans="1:8" ht="29.25" x14ac:dyDescent="0.25">
      <c r="A1027" s="2" t="str">
        <f>"00027780"</f>
        <v>00027780</v>
      </c>
      <c r="B1027" s="2" t="str">
        <f t="shared" si="44"/>
        <v>SG</v>
      </c>
      <c r="C1027" s="4" t="s">
        <v>684</v>
      </c>
      <c r="D1027" s="4" t="s">
        <v>0</v>
      </c>
      <c r="E1027" s="4" t="s">
        <v>12</v>
      </c>
      <c r="F1027" s="2" t="s">
        <v>0</v>
      </c>
      <c r="G1027" s="2" t="str">
        <f>"01"</f>
        <v>01</v>
      </c>
      <c r="H1027" s="3">
        <v>413</v>
      </c>
    </row>
    <row r="1028" spans="1:8" ht="29.25" x14ac:dyDescent="0.25">
      <c r="A1028" s="2" t="str">
        <f>"00027781"</f>
        <v>00027781</v>
      </c>
      <c r="B1028" s="2" t="str">
        <f t="shared" si="44"/>
        <v>SG</v>
      </c>
      <c r="C1028" s="4" t="s">
        <v>684</v>
      </c>
      <c r="D1028" s="4" t="s">
        <v>0</v>
      </c>
      <c r="E1028" s="4" t="s">
        <v>12</v>
      </c>
      <c r="F1028" s="2" t="s">
        <v>0</v>
      </c>
      <c r="G1028" s="2" t="str">
        <f>"01"</f>
        <v>01</v>
      </c>
      <c r="H1028" s="3">
        <v>413</v>
      </c>
    </row>
    <row r="1029" spans="1:8" ht="29.25" x14ac:dyDescent="0.25">
      <c r="A1029" s="2" t="str">
        <f>"00027784"</f>
        <v>00027784</v>
      </c>
      <c r="B1029" s="2" t="str">
        <f t="shared" si="44"/>
        <v>SG</v>
      </c>
      <c r="C1029" s="4" t="s">
        <v>684</v>
      </c>
      <c r="D1029" s="4" t="s">
        <v>0</v>
      </c>
      <c r="E1029" s="4" t="s">
        <v>12</v>
      </c>
      <c r="F1029" s="2" t="s">
        <v>0</v>
      </c>
      <c r="G1029" s="2" t="str">
        <f>"08"</f>
        <v>08</v>
      </c>
      <c r="H1029" s="3">
        <v>1183</v>
      </c>
    </row>
    <row r="1030" spans="1:8" ht="29.25" x14ac:dyDescent="0.25">
      <c r="A1030" s="2" t="str">
        <f>"00027786"</f>
        <v>00027786</v>
      </c>
      <c r="B1030" s="2" t="str">
        <f t="shared" si="44"/>
        <v>SG</v>
      </c>
      <c r="C1030" s="4" t="s">
        <v>683</v>
      </c>
      <c r="D1030" s="4" t="s">
        <v>0</v>
      </c>
      <c r="E1030" s="4" t="s">
        <v>12</v>
      </c>
      <c r="F1030" s="2" t="s">
        <v>0</v>
      </c>
      <c r="G1030" s="2" t="str">
        <f>"01"</f>
        <v>01</v>
      </c>
      <c r="H1030" s="3">
        <v>413</v>
      </c>
    </row>
    <row r="1031" spans="1:8" ht="29.25" x14ac:dyDescent="0.25">
      <c r="A1031" s="2" t="str">
        <f>"00027788"</f>
        <v>00027788</v>
      </c>
      <c r="B1031" s="2" t="str">
        <f t="shared" si="44"/>
        <v>SG</v>
      </c>
      <c r="C1031" s="4" t="s">
        <v>683</v>
      </c>
      <c r="D1031" s="4" t="s">
        <v>0</v>
      </c>
      <c r="E1031" s="4" t="s">
        <v>12</v>
      </c>
      <c r="F1031" s="2" t="s">
        <v>0</v>
      </c>
      <c r="G1031" s="2" t="str">
        <f>"01"</f>
        <v>01</v>
      </c>
      <c r="H1031" s="3">
        <v>413</v>
      </c>
    </row>
    <row r="1032" spans="1:8" ht="29.25" x14ac:dyDescent="0.25">
      <c r="A1032" s="2" t="str">
        <f>"00027792"</f>
        <v>00027792</v>
      </c>
      <c r="B1032" s="2" t="str">
        <f t="shared" si="44"/>
        <v>SG</v>
      </c>
      <c r="C1032" s="4" t="s">
        <v>683</v>
      </c>
      <c r="D1032" s="4" t="s">
        <v>0</v>
      </c>
      <c r="E1032" s="4" t="s">
        <v>12</v>
      </c>
      <c r="F1032" s="2" t="s">
        <v>0</v>
      </c>
      <c r="G1032" s="2" t="str">
        <f>"08"</f>
        <v>08</v>
      </c>
      <c r="H1032" s="3">
        <v>1183</v>
      </c>
    </row>
    <row r="1033" spans="1:8" ht="29.25" x14ac:dyDescent="0.25">
      <c r="A1033" s="2" t="str">
        <f>"00027808"</f>
        <v>00027808</v>
      </c>
      <c r="B1033" s="2" t="str">
        <f t="shared" si="44"/>
        <v>SG</v>
      </c>
      <c r="C1033" s="4" t="s">
        <v>683</v>
      </c>
      <c r="D1033" s="4" t="s">
        <v>0</v>
      </c>
      <c r="E1033" s="4" t="s">
        <v>12</v>
      </c>
      <c r="F1033" s="2" t="s">
        <v>0</v>
      </c>
      <c r="G1033" s="2" t="str">
        <f>"01"</f>
        <v>01</v>
      </c>
      <c r="H1033" s="3">
        <v>413</v>
      </c>
    </row>
    <row r="1034" spans="1:8" ht="29.25" x14ac:dyDescent="0.25">
      <c r="A1034" s="2" t="str">
        <f>"00027810"</f>
        <v>00027810</v>
      </c>
      <c r="B1034" s="2" t="str">
        <f t="shared" si="44"/>
        <v>SG</v>
      </c>
      <c r="C1034" s="4" t="s">
        <v>683</v>
      </c>
      <c r="D1034" s="4" t="s">
        <v>0</v>
      </c>
      <c r="E1034" s="4" t="s">
        <v>12</v>
      </c>
      <c r="F1034" s="2" t="s">
        <v>0</v>
      </c>
      <c r="G1034" s="2" t="str">
        <f>"01"</f>
        <v>01</v>
      </c>
      <c r="H1034" s="3">
        <v>413</v>
      </c>
    </row>
    <row r="1035" spans="1:8" ht="29.25" x14ac:dyDescent="0.25">
      <c r="A1035" s="2" t="str">
        <f>"00027814"</f>
        <v>00027814</v>
      </c>
      <c r="B1035" s="2" t="str">
        <f t="shared" si="44"/>
        <v>SG</v>
      </c>
      <c r="C1035" s="4" t="s">
        <v>683</v>
      </c>
      <c r="D1035" s="4" t="s">
        <v>0</v>
      </c>
      <c r="E1035" s="4" t="s">
        <v>12</v>
      </c>
      <c r="F1035" s="2" t="s">
        <v>0</v>
      </c>
      <c r="G1035" s="2" t="str">
        <f>"08"</f>
        <v>08</v>
      </c>
      <c r="H1035" s="3">
        <v>1183</v>
      </c>
    </row>
    <row r="1036" spans="1:8" ht="29.25" x14ac:dyDescent="0.25">
      <c r="A1036" s="2" t="str">
        <f>"00027816"</f>
        <v>00027816</v>
      </c>
      <c r="B1036" s="2" t="str">
        <f t="shared" si="44"/>
        <v>SG</v>
      </c>
      <c r="C1036" s="4" t="s">
        <v>683</v>
      </c>
      <c r="D1036" s="4" t="s">
        <v>0</v>
      </c>
      <c r="E1036" s="4" t="s">
        <v>12</v>
      </c>
      <c r="F1036" s="2" t="s">
        <v>0</v>
      </c>
      <c r="G1036" s="2" t="str">
        <f>"01"</f>
        <v>01</v>
      </c>
      <c r="H1036" s="3">
        <v>413</v>
      </c>
    </row>
    <row r="1037" spans="1:8" ht="29.25" x14ac:dyDescent="0.25">
      <c r="A1037" s="2" t="str">
        <f>"00027818"</f>
        <v>00027818</v>
      </c>
      <c r="B1037" s="2" t="str">
        <f t="shared" ref="B1037:B1100" si="47">"SG"</f>
        <v>SG</v>
      </c>
      <c r="C1037" s="4" t="s">
        <v>683</v>
      </c>
      <c r="D1037" s="4" t="s">
        <v>0</v>
      </c>
      <c r="E1037" s="4" t="s">
        <v>12</v>
      </c>
      <c r="F1037" s="2" t="s">
        <v>0</v>
      </c>
      <c r="G1037" s="2" t="str">
        <f>"01"</f>
        <v>01</v>
      </c>
      <c r="H1037" s="3">
        <v>413</v>
      </c>
    </row>
    <row r="1038" spans="1:8" ht="29.25" x14ac:dyDescent="0.25">
      <c r="A1038" s="2" t="str">
        <f>"00027822"</f>
        <v>00027822</v>
      </c>
      <c r="B1038" s="2" t="str">
        <f t="shared" si="47"/>
        <v>SG</v>
      </c>
      <c r="C1038" s="4" t="s">
        <v>683</v>
      </c>
      <c r="D1038" s="4" t="s">
        <v>0</v>
      </c>
      <c r="E1038" s="4" t="s">
        <v>12</v>
      </c>
      <c r="F1038" s="2" t="s">
        <v>0</v>
      </c>
      <c r="G1038" s="2" t="str">
        <f>"08"</f>
        <v>08</v>
      </c>
      <c r="H1038" s="3">
        <v>1183</v>
      </c>
    </row>
    <row r="1039" spans="1:8" ht="29.25" x14ac:dyDescent="0.25">
      <c r="A1039" s="2" t="str">
        <f>"00027823"</f>
        <v>00027823</v>
      </c>
      <c r="B1039" s="2" t="str">
        <f t="shared" si="47"/>
        <v>SG</v>
      </c>
      <c r="C1039" s="4" t="s">
        <v>683</v>
      </c>
      <c r="D1039" s="4" t="s">
        <v>0</v>
      </c>
      <c r="E1039" s="4" t="s">
        <v>12</v>
      </c>
      <c r="F1039" s="2" t="s">
        <v>0</v>
      </c>
      <c r="G1039" s="2" t="str">
        <f>"09"</f>
        <v>09</v>
      </c>
      <c r="H1039" s="3">
        <v>1662</v>
      </c>
    </row>
    <row r="1040" spans="1:8" ht="29.25" x14ac:dyDescent="0.25">
      <c r="A1040" s="2" t="str">
        <f>"00027824"</f>
        <v>00027824</v>
      </c>
      <c r="B1040" s="2" t="str">
        <f t="shared" si="47"/>
        <v>SG</v>
      </c>
      <c r="C1040" s="4" t="s">
        <v>685</v>
      </c>
      <c r="D1040" s="4" t="s">
        <v>0</v>
      </c>
      <c r="E1040" s="4" t="s">
        <v>12</v>
      </c>
      <c r="F1040" s="2" t="s">
        <v>0</v>
      </c>
      <c r="G1040" s="2" t="str">
        <f>"01"</f>
        <v>01</v>
      </c>
      <c r="H1040" s="3">
        <v>413</v>
      </c>
    </row>
    <row r="1041" spans="1:8" ht="29.25" x14ac:dyDescent="0.25">
      <c r="A1041" s="2" t="str">
        <f>"00027825"</f>
        <v>00027825</v>
      </c>
      <c r="B1041" s="2" t="str">
        <f t="shared" si="47"/>
        <v>SG</v>
      </c>
      <c r="C1041" s="4" t="s">
        <v>685</v>
      </c>
      <c r="D1041" s="4" t="s">
        <v>0</v>
      </c>
      <c r="E1041" s="4" t="s">
        <v>12</v>
      </c>
      <c r="F1041" s="2" t="s">
        <v>0</v>
      </c>
      <c r="G1041" s="2" t="str">
        <f>"01"</f>
        <v>01</v>
      </c>
      <c r="H1041" s="3">
        <v>413</v>
      </c>
    </row>
    <row r="1042" spans="1:8" ht="29.25" x14ac:dyDescent="0.25">
      <c r="A1042" s="2" t="str">
        <f>"00027826"</f>
        <v>00027826</v>
      </c>
      <c r="B1042" s="2" t="str">
        <f t="shared" si="47"/>
        <v>SG</v>
      </c>
      <c r="C1042" s="4" t="s">
        <v>685</v>
      </c>
      <c r="D1042" s="4" t="s">
        <v>0</v>
      </c>
      <c r="E1042" s="4" t="s">
        <v>12</v>
      </c>
      <c r="F1042" s="2" t="s">
        <v>0</v>
      </c>
      <c r="G1042" s="2" t="str">
        <f>"08"</f>
        <v>08</v>
      </c>
      <c r="H1042" s="3">
        <v>1183</v>
      </c>
    </row>
    <row r="1043" spans="1:8" ht="29.25" x14ac:dyDescent="0.25">
      <c r="A1043" s="2" t="str">
        <f>"00027827"</f>
        <v>00027827</v>
      </c>
      <c r="B1043" s="2" t="str">
        <f t="shared" si="47"/>
        <v>SG</v>
      </c>
      <c r="C1043" s="4" t="s">
        <v>685</v>
      </c>
      <c r="D1043" s="4" t="s">
        <v>0</v>
      </c>
      <c r="E1043" s="4" t="s">
        <v>12</v>
      </c>
      <c r="F1043" s="2" t="s">
        <v>0</v>
      </c>
      <c r="G1043" s="2" t="str">
        <f>"09"</f>
        <v>09</v>
      </c>
      <c r="H1043" s="3">
        <v>1662</v>
      </c>
    </row>
    <row r="1044" spans="1:8" ht="29.25" x14ac:dyDescent="0.25">
      <c r="A1044" s="2" t="str">
        <f>"00027828"</f>
        <v>00027828</v>
      </c>
      <c r="B1044" s="2" t="str">
        <f t="shared" si="47"/>
        <v>SG</v>
      </c>
      <c r="C1044" s="4" t="s">
        <v>685</v>
      </c>
      <c r="D1044" s="4" t="s">
        <v>0</v>
      </c>
      <c r="E1044" s="4" t="s">
        <v>12</v>
      </c>
      <c r="F1044" s="2" t="s">
        <v>0</v>
      </c>
      <c r="G1044" s="2" t="str">
        <f>"09"</f>
        <v>09</v>
      </c>
      <c r="H1044" s="3">
        <v>1662</v>
      </c>
    </row>
    <row r="1045" spans="1:8" x14ac:dyDescent="0.25">
      <c r="A1045" s="2" t="str">
        <f>"00027829"</f>
        <v>00027829</v>
      </c>
      <c r="B1045" s="2" t="str">
        <f t="shared" si="47"/>
        <v>SG</v>
      </c>
      <c r="C1045" s="4" t="s">
        <v>686</v>
      </c>
      <c r="D1045" s="4" t="s">
        <v>0</v>
      </c>
      <c r="E1045" s="4" t="s">
        <v>12</v>
      </c>
      <c r="F1045" s="2" t="s">
        <v>0</v>
      </c>
      <c r="G1045" s="2" t="str">
        <f>"09"</f>
        <v>09</v>
      </c>
      <c r="H1045" s="3">
        <v>1662</v>
      </c>
    </row>
    <row r="1046" spans="1:8" ht="29.25" x14ac:dyDescent="0.25">
      <c r="A1046" s="2" t="str">
        <f>"00027830"</f>
        <v>00027830</v>
      </c>
      <c r="B1046" s="2" t="str">
        <f t="shared" si="47"/>
        <v>SG</v>
      </c>
      <c r="C1046" s="4" t="s">
        <v>687</v>
      </c>
      <c r="D1046" s="4" t="s">
        <v>0</v>
      </c>
      <c r="E1046" s="4" t="s">
        <v>12</v>
      </c>
      <c r="F1046" s="2" t="s">
        <v>0</v>
      </c>
      <c r="G1046" s="2" t="str">
        <f>"01"</f>
        <v>01</v>
      </c>
      <c r="H1046" s="3">
        <v>413</v>
      </c>
    </row>
    <row r="1047" spans="1:8" ht="29.25" x14ac:dyDescent="0.25">
      <c r="A1047" s="2" t="str">
        <f>"00027831"</f>
        <v>00027831</v>
      </c>
      <c r="B1047" s="2" t="str">
        <f t="shared" si="47"/>
        <v>SG</v>
      </c>
      <c r="C1047" s="4" t="s">
        <v>687</v>
      </c>
      <c r="D1047" s="4" t="s">
        <v>0</v>
      </c>
      <c r="E1047" s="4" t="s">
        <v>12</v>
      </c>
      <c r="F1047" s="2" t="s">
        <v>0</v>
      </c>
      <c r="G1047" s="2" t="str">
        <f>"01"</f>
        <v>01</v>
      </c>
      <c r="H1047" s="3">
        <v>413</v>
      </c>
    </row>
    <row r="1048" spans="1:8" ht="29.25" x14ac:dyDescent="0.25">
      <c r="A1048" s="2" t="str">
        <f>"00027832"</f>
        <v>00027832</v>
      </c>
      <c r="B1048" s="2" t="str">
        <f t="shared" si="47"/>
        <v>SG</v>
      </c>
      <c r="C1048" s="4" t="s">
        <v>687</v>
      </c>
      <c r="D1048" s="4" t="s">
        <v>0</v>
      </c>
      <c r="E1048" s="4" t="s">
        <v>12</v>
      </c>
      <c r="F1048" s="2" t="s">
        <v>0</v>
      </c>
      <c r="G1048" s="2" t="str">
        <f>"08"</f>
        <v>08</v>
      </c>
      <c r="H1048" s="3">
        <v>1183</v>
      </c>
    </row>
    <row r="1049" spans="1:8" x14ac:dyDescent="0.25">
      <c r="A1049" s="2" t="str">
        <f>"00027840"</f>
        <v>00027840</v>
      </c>
      <c r="B1049" s="2" t="str">
        <f t="shared" si="47"/>
        <v>SG</v>
      </c>
      <c r="C1049" s="4" t="s">
        <v>688</v>
      </c>
      <c r="D1049" s="4" t="s">
        <v>0</v>
      </c>
      <c r="E1049" s="4" t="s">
        <v>12</v>
      </c>
      <c r="F1049" s="2" t="s">
        <v>0</v>
      </c>
      <c r="G1049" s="2" t="str">
        <f>"01"</f>
        <v>01</v>
      </c>
      <c r="H1049" s="3">
        <v>413</v>
      </c>
    </row>
    <row r="1050" spans="1:8" x14ac:dyDescent="0.25">
      <c r="A1050" s="2" t="str">
        <f>"00027842"</f>
        <v>00027842</v>
      </c>
      <c r="B1050" s="2" t="str">
        <f t="shared" si="47"/>
        <v>SG</v>
      </c>
      <c r="C1050" s="4" t="s">
        <v>688</v>
      </c>
      <c r="D1050" s="4" t="s">
        <v>0</v>
      </c>
      <c r="E1050" s="4" t="s">
        <v>12</v>
      </c>
      <c r="F1050" s="2" t="s">
        <v>0</v>
      </c>
      <c r="G1050" s="2" t="str">
        <f>"01"</f>
        <v>01</v>
      </c>
      <c r="H1050" s="3">
        <v>413</v>
      </c>
    </row>
    <row r="1051" spans="1:8" x14ac:dyDescent="0.25">
      <c r="A1051" s="2" t="str">
        <f>"00027846"</f>
        <v>00027846</v>
      </c>
      <c r="B1051" s="2" t="str">
        <f t="shared" si="47"/>
        <v>SG</v>
      </c>
      <c r="C1051" s="4" t="s">
        <v>688</v>
      </c>
      <c r="D1051" s="4" t="s">
        <v>0</v>
      </c>
      <c r="E1051" s="4" t="s">
        <v>12</v>
      </c>
      <c r="F1051" s="2" t="s">
        <v>0</v>
      </c>
      <c r="G1051" s="2" t="str">
        <f>"08"</f>
        <v>08</v>
      </c>
      <c r="H1051" s="3">
        <v>1183</v>
      </c>
    </row>
    <row r="1052" spans="1:8" x14ac:dyDescent="0.25">
      <c r="A1052" s="2" t="str">
        <f>"00027848"</f>
        <v>00027848</v>
      </c>
      <c r="B1052" s="2" t="str">
        <f t="shared" si="47"/>
        <v>SG</v>
      </c>
      <c r="C1052" s="4" t="s">
        <v>688</v>
      </c>
      <c r="D1052" s="4" t="s">
        <v>0</v>
      </c>
      <c r="E1052" s="4" t="s">
        <v>12</v>
      </c>
      <c r="F1052" s="2" t="s">
        <v>0</v>
      </c>
      <c r="G1052" s="2" t="str">
        <f>"08"</f>
        <v>08</v>
      </c>
      <c r="H1052" s="3">
        <v>1183</v>
      </c>
    </row>
    <row r="1053" spans="1:8" x14ac:dyDescent="0.25">
      <c r="A1053" s="2" t="str">
        <f>"00027860"</f>
        <v>00027860</v>
      </c>
      <c r="B1053" s="2" t="str">
        <f t="shared" si="47"/>
        <v>SG</v>
      </c>
      <c r="C1053" s="4" t="s">
        <v>689</v>
      </c>
      <c r="D1053" s="4" t="s">
        <v>0</v>
      </c>
      <c r="E1053" s="4" t="s">
        <v>12</v>
      </c>
      <c r="F1053" s="2" t="s">
        <v>0</v>
      </c>
      <c r="G1053" s="2" t="str">
        <f>"01"</f>
        <v>01</v>
      </c>
      <c r="H1053" s="3">
        <v>413</v>
      </c>
    </row>
    <row r="1054" spans="1:8" ht="29.25" x14ac:dyDescent="0.25">
      <c r="A1054" s="2" t="str">
        <f>"00027870"</f>
        <v>00027870</v>
      </c>
      <c r="B1054" s="2" t="str">
        <f t="shared" si="47"/>
        <v>SG</v>
      </c>
      <c r="C1054" s="4" t="s">
        <v>690</v>
      </c>
      <c r="D1054" s="4" t="s">
        <v>0</v>
      </c>
      <c r="E1054" s="4" t="s">
        <v>12</v>
      </c>
      <c r="F1054" s="2" t="s">
        <v>0</v>
      </c>
      <c r="G1054" s="2" t="str">
        <f>"09"</f>
        <v>09</v>
      </c>
      <c r="H1054" s="3">
        <v>1662</v>
      </c>
    </row>
    <row r="1055" spans="1:8" ht="29.25" x14ac:dyDescent="0.25">
      <c r="A1055" s="2" t="str">
        <f>"00027871"</f>
        <v>00027871</v>
      </c>
      <c r="B1055" s="2" t="str">
        <f t="shared" si="47"/>
        <v>SG</v>
      </c>
      <c r="C1055" s="4" t="s">
        <v>691</v>
      </c>
      <c r="D1055" s="4" t="s">
        <v>0</v>
      </c>
      <c r="E1055" s="4" t="s">
        <v>12</v>
      </c>
      <c r="F1055" s="2" t="s">
        <v>0</v>
      </c>
      <c r="G1055" s="2" t="str">
        <f>"09"</f>
        <v>09</v>
      </c>
      <c r="H1055" s="3">
        <v>1662</v>
      </c>
    </row>
    <row r="1056" spans="1:8" ht="29.25" x14ac:dyDescent="0.25">
      <c r="A1056" s="2" t="str">
        <f>"00027884"</f>
        <v>00027884</v>
      </c>
      <c r="B1056" s="2" t="str">
        <f t="shared" si="47"/>
        <v>SG</v>
      </c>
      <c r="C1056" s="4" t="s">
        <v>303</v>
      </c>
      <c r="D1056" s="4" t="s">
        <v>0</v>
      </c>
      <c r="E1056" s="4" t="s">
        <v>12</v>
      </c>
      <c r="F1056" s="2" t="s">
        <v>0</v>
      </c>
      <c r="G1056" s="2" t="str">
        <f>"02"</f>
        <v>02</v>
      </c>
      <c r="H1056" s="3">
        <v>552</v>
      </c>
    </row>
    <row r="1057" spans="1:8" ht="29.25" x14ac:dyDescent="0.25">
      <c r="A1057" s="2" t="str">
        <f>"00027889"</f>
        <v>00027889</v>
      </c>
      <c r="B1057" s="2" t="str">
        <f t="shared" si="47"/>
        <v>SG</v>
      </c>
      <c r="C1057" s="4" t="s">
        <v>692</v>
      </c>
      <c r="D1057" s="4" t="s">
        <v>0</v>
      </c>
      <c r="E1057" s="4" t="s">
        <v>12</v>
      </c>
      <c r="F1057" s="2" t="s">
        <v>0</v>
      </c>
      <c r="G1057" s="2" t="str">
        <f>"04"</f>
        <v>04</v>
      </c>
      <c r="H1057" s="3">
        <v>785</v>
      </c>
    </row>
    <row r="1058" spans="1:8" x14ac:dyDescent="0.25">
      <c r="A1058" s="2" t="str">
        <f>"00027892"</f>
        <v>00027892</v>
      </c>
      <c r="B1058" s="2" t="str">
        <f t="shared" si="47"/>
        <v>SG</v>
      </c>
      <c r="C1058" s="4" t="s">
        <v>693</v>
      </c>
      <c r="D1058" s="4" t="s">
        <v>0</v>
      </c>
      <c r="E1058" s="4" t="s">
        <v>12</v>
      </c>
      <c r="F1058" s="2" t="s">
        <v>0</v>
      </c>
      <c r="G1058" s="2" t="str">
        <f>"04"</f>
        <v>04</v>
      </c>
      <c r="H1058" s="3">
        <v>785</v>
      </c>
    </row>
    <row r="1059" spans="1:8" x14ac:dyDescent="0.25">
      <c r="A1059" s="2" t="str">
        <f>"00027893"</f>
        <v>00027893</v>
      </c>
      <c r="B1059" s="2" t="str">
        <f t="shared" si="47"/>
        <v>SG</v>
      </c>
      <c r="C1059" s="4" t="s">
        <v>693</v>
      </c>
      <c r="D1059" s="4" t="s">
        <v>0</v>
      </c>
      <c r="E1059" s="4" t="s">
        <v>12</v>
      </c>
      <c r="F1059" s="2" t="s">
        <v>0</v>
      </c>
      <c r="G1059" s="2" t="str">
        <f>"04"</f>
        <v>04</v>
      </c>
      <c r="H1059" s="3">
        <v>785</v>
      </c>
    </row>
    <row r="1060" spans="1:8" ht="29.25" x14ac:dyDescent="0.25">
      <c r="A1060" s="2" t="str">
        <f>"00028002"</f>
        <v>00028002</v>
      </c>
      <c r="B1060" s="2" t="str">
        <f t="shared" si="47"/>
        <v>SG</v>
      </c>
      <c r="C1060" s="4" t="s">
        <v>694</v>
      </c>
      <c r="D1060" s="4" t="s">
        <v>0</v>
      </c>
      <c r="E1060" s="4" t="s">
        <v>12</v>
      </c>
      <c r="F1060" s="2" t="s">
        <v>0</v>
      </c>
      <c r="G1060" s="2" t="str">
        <f t="shared" ref="G1060:G1067" si="48">"02"</f>
        <v>02</v>
      </c>
      <c r="H1060" s="3">
        <v>552</v>
      </c>
    </row>
    <row r="1061" spans="1:8" ht="29.25" x14ac:dyDescent="0.25">
      <c r="A1061" s="2" t="str">
        <f>"00028003"</f>
        <v>00028003</v>
      </c>
      <c r="B1061" s="2" t="str">
        <f t="shared" si="47"/>
        <v>SG</v>
      </c>
      <c r="C1061" s="4" t="s">
        <v>694</v>
      </c>
      <c r="D1061" s="4" t="s">
        <v>0</v>
      </c>
      <c r="E1061" s="4" t="s">
        <v>12</v>
      </c>
      <c r="F1061" s="2" t="s">
        <v>0</v>
      </c>
      <c r="G1061" s="2" t="str">
        <f t="shared" si="48"/>
        <v>02</v>
      </c>
      <c r="H1061" s="3">
        <v>552</v>
      </c>
    </row>
    <row r="1062" spans="1:8" x14ac:dyDescent="0.25">
      <c r="A1062" s="2" t="str">
        <f>"00028005"</f>
        <v>00028005</v>
      </c>
      <c r="B1062" s="2" t="str">
        <f t="shared" si="47"/>
        <v>SG</v>
      </c>
      <c r="C1062" s="4" t="s">
        <v>695</v>
      </c>
      <c r="D1062" s="4" t="s">
        <v>0</v>
      </c>
      <c r="E1062" s="4" t="s">
        <v>12</v>
      </c>
      <c r="F1062" s="2" t="s">
        <v>0</v>
      </c>
      <c r="G1062" s="2" t="str">
        <f t="shared" si="48"/>
        <v>02</v>
      </c>
      <c r="H1062" s="3">
        <v>552</v>
      </c>
    </row>
    <row r="1063" spans="1:8" x14ac:dyDescent="0.25">
      <c r="A1063" s="2" t="str">
        <f>"00028008"</f>
        <v>00028008</v>
      </c>
      <c r="B1063" s="2" t="str">
        <f t="shared" si="47"/>
        <v>SG</v>
      </c>
      <c r="C1063" s="4" t="s">
        <v>696</v>
      </c>
      <c r="D1063" s="4" t="s">
        <v>0</v>
      </c>
      <c r="E1063" s="4" t="s">
        <v>12</v>
      </c>
      <c r="F1063" s="2" t="s">
        <v>0</v>
      </c>
      <c r="G1063" s="2" t="str">
        <f t="shared" si="48"/>
        <v>02</v>
      </c>
      <c r="H1063" s="3">
        <v>552</v>
      </c>
    </row>
    <row r="1064" spans="1:8" x14ac:dyDescent="0.25">
      <c r="A1064" s="2" t="str">
        <f>"00028011"</f>
        <v>00028011</v>
      </c>
      <c r="B1064" s="2" t="str">
        <f t="shared" si="47"/>
        <v>SG</v>
      </c>
      <c r="C1064" s="4" t="s">
        <v>697</v>
      </c>
      <c r="D1064" s="4" t="s">
        <v>0</v>
      </c>
      <c r="E1064" s="4" t="s">
        <v>12</v>
      </c>
      <c r="F1064" s="2" t="s">
        <v>0</v>
      </c>
      <c r="G1064" s="2" t="str">
        <f t="shared" si="48"/>
        <v>02</v>
      </c>
      <c r="H1064" s="3">
        <v>552</v>
      </c>
    </row>
    <row r="1065" spans="1:8" ht="29.25" x14ac:dyDescent="0.25">
      <c r="A1065" s="2" t="str">
        <f>"00028020"</f>
        <v>00028020</v>
      </c>
      <c r="B1065" s="2" t="str">
        <f t="shared" si="47"/>
        <v>SG</v>
      </c>
      <c r="C1065" s="4" t="s">
        <v>698</v>
      </c>
      <c r="D1065" s="4" t="s">
        <v>0</v>
      </c>
      <c r="E1065" s="4" t="s">
        <v>12</v>
      </c>
      <c r="F1065" s="2" t="s">
        <v>0</v>
      </c>
      <c r="G1065" s="2" t="str">
        <f t="shared" si="48"/>
        <v>02</v>
      </c>
      <c r="H1065" s="3">
        <v>552</v>
      </c>
    </row>
    <row r="1066" spans="1:8" ht="29.25" x14ac:dyDescent="0.25">
      <c r="A1066" s="2" t="str">
        <f>"00028022"</f>
        <v>00028022</v>
      </c>
      <c r="B1066" s="2" t="str">
        <f t="shared" si="47"/>
        <v>SG</v>
      </c>
      <c r="C1066" s="4" t="s">
        <v>698</v>
      </c>
      <c r="D1066" s="4" t="s">
        <v>0</v>
      </c>
      <c r="E1066" s="4" t="s">
        <v>12</v>
      </c>
      <c r="F1066" s="2" t="s">
        <v>0</v>
      </c>
      <c r="G1066" s="2" t="str">
        <f t="shared" si="48"/>
        <v>02</v>
      </c>
      <c r="H1066" s="3">
        <v>552</v>
      </c>
    </row>
    <row r="1067" spans="1:8" ht="29.25" x14ac:dyDescent="0.25">
      <c r="A1067" s="2" t="str">
        <f>"00028024"</f>
        <v>00028024</v>
      </c>
      <c r="B1067" s="2" t="str">
        <f t="shared" si="47"/>
        <v>SG</v>
      </c>
      <c r="C1067" s="4" t="s">
        <v>699</v>
      </c>
      <c r="D1067" s="4" t="s">
        <v>0</v>
      </c>
      <c r="E1067" s="4" t="s">
        <v>12</v>
      </c>
      <c r="F1067" s="2" t="s">
        <v>0</v>
      </c>
      <c r="G1067" s="2" t="str">
        <f t="shared" si="48"/>
        <v>02</v>
      </c>
      <c r="H1067" s="3">
        <v>552</v>
      </c>
    </row>
    <row r="1068" spans="1:8" ht="29.25" x14ac:dyDescent="0.25">
      <c r="A1068" s="2" t="str">
        <f>"00028035"</f>
        <v>00028035</v>
      </c>
      <c r="B1068" s="2" t="str">
        <f t="shared" si="47"/>
        <v>SG</v>
      </c>
      <c r="C1068" s="4" t="s">
        <v>700</v>
      </c>
      <c r="D1068" s="4" t="s">
        <v>0</v>
      </c>
      <c r="E1068" s="4" t="s">
        <v>12</v>
      </c>
      <c r="F1068" s="2" t="s">
        <v>0</v>
      </c>
      <c r="G1068" s="2" t="str">
        <f>"01"</f>
        <v>01</v>
      </c>
      <c r="H1068" s="3">
        <v>413</v>
      </c>
    </row>
    <row r="1069" spans="1:8" ht="43.5" x14ac:dyDescent="0.25">
      <c r="A1069" s="2" t="str">
        <f>"00028041"</f>
        <v>00028041</v>
      </c>
      <c r="B1069" s="2" t="str">
        <f t="shared" si="47"/>
        <v>SG</v>
      </c>
      <c r="C1069" s="4" t="s">
        <v>701</v>
      </c>
      <c r="D1069" s="4" t="s">
        <v>0</v>
      </c>
      <c r="E1069" s="4" t="s">
        <v>12</v>
      </c>
      <c r="F1069" s="2" t="s">
        <v>0</v>
      </c>
      <c r="G1069" s="2" t="str">
        <f>"02"</f>
        <v>02</v>
      </c>
      <c r="H1069" s="3">
        <v>552</v>
      </c>
    </row>
    <row r="1070" spans="1:8" x14ac:dyDescent="0.25">
      <c r="A1070" s="2" t="str">
        <f>"00028043"</f>
        <v>00028043</v>
      </c>
      <c r="B1070" s="2" t="str">
        <f t="shared" si="47"/>
        <v>SG</v>
      </c>
      <c r="C1070" s="4" t="s">
        <v>702</v>
      </c>
      <c r="D1070" s="4" t="s">
        <v>0</v>
      </c>
      <c r="E1070" s="4" t="s">
        <v>12</v>
      </c>
      <c r="F1070" s="2" t="s">
        <v>0</v>
      </c>
      <c r="G1070" s="2" t="str">
        <f>"01"</f>
        <v>01</v>
      </c>
      <c r="H1070" s="3">
        <v>413</v>
      </c>
    </row>
    <row r="1071" spans="1:8" x14ac:dyDescent="0.25">
      <c r="A1071" s="2" t="str">
        <f>"00028045"</f>
        <v>00028045</v>
      </c>
      <c r="B1071" s="2" t="str">
        <f t="shared" si="47"/>
        <v>SG</v>
      </c>
      <c r="C1071" s="4" t="s">
        <v>702</v>
      </c>
      <c r="D1071" s="4" t="s">
        <v>0</v>
      </c>
      <c r="E1071" s="4" t="s">
        <v>12</v>
      </c>
      <c r="F1071" s="2" t="s">
        <v>0</v>
      </c>
      <c r="G1071" s="2" t="str">
        <f>"01"</f>
        <v>01</v>
      </c>
      <c r="H1071" s="3">
        <v>413</v>
      </c>
    </row>
    <row r="1072" spans="1:8" ht="29.25" x14ac:dyDescent="0.25">
      <c r="A1072" s="2" t="str">
        <f>"00028046"</f>
        <v>00028046</v>
      </c>
      <c r="B1072" s="2" t="str">
        <f t="shared" si="47"/>
        <v>SG</v>
      </c>
      <c r="C1072" s="4" t="s">
        <v>703</v>
      </c>
      <c r="D1072" s="4" t="s">
        <v>0</v>
      </c>
      <c r="E1072" s="4" t="s">
        <v>12</v>
      </c>
      <c r="F1072" s="2" t="s">
        <v>0</v>
      </c>
      <c r="G1072" s="2" t="str">
        <f>"01"</f>
        <v>01</v>
      </c>
      <c r="H1072" s="3">
        <v>413</v>
      </c>
    </row>
    <row r="1073" spans="1:8" ht="29.25" x14ac:dyDescent="0.25">
      <c r="A1073" s="2" t="str">
        <f>"00028050"</f>
        <v>00028050</v>
      </c>
      <c r="B1073" s="2" t="str">
        <f t="shared" si="47"/>
        <v>SG</v>
      </c>
      <c r="C1073" s="4" t="s">
        <v>704</v>
      </c>
      <c r="D1073" s="4" t="s">
        <v>0</v>
      </c>
      <c r="E1073" s="4" t="s">
        <v>12</v>
      </c>
      <c r="F1073" s="2" t="s">
        <v>0</v>
      </c>
      <c r="G1073" s="2" t="str">
        <f>"02"</f>
        <v>02</v>
      </c>
      <c r="H1073" s="3">
        <v>552</v>
      </c>
    </row>
    <row r="1074" spans="1:8" ht="29.25" x14ac:dyDescent="0.25">
      <c r="A1074" s="2" t="str">
        <f>"00028052"</f>
        <v>00028052</v>
      </c>
      <c r="B1074" s="2" t="str">
        <f t="shared" si="47"/>
        <v>SG</v>
      </c>
      <c r="C1074" s="4" t="s">
        <v>704</v>
      </c>
      <c r="D1074" s="4" t="s">
        <v>0</v>
      </c>
      <c r="E1074" s="4" t="s">
        <v>12</v>
      </c>
      <c r="F1074" s="2" t="s">
        <v>0</v>
      </c>
      <c r="G1074" s="2" t="str">
        <f>"02"</f>
        <v>02</v>
      </c>
      <c r="H1074" s="3">
        <v>552</v>
      </c>
    </row>
    <row r="1075" spans="1:8" ht="29.25" x14ac:dyDescent="0.25">
      <c r="A1075" s="2" t="str">
        <f>"00028054"</f>
        <v>00028054</v>
      </c>
      <c r="B1075" s="2" t="str">
        <f t="shared" si="47"/>
        <v>SG</v>
      </c>
      <c r="C1075" s="4" t="s">
        <v>705</v>
      </c>
      <c r="D1075" s="4" t="s">
        <v>0</v>
      </c>
      <c r="E1075" s="4" t="s">
        <v>12</v>
      </c>
      <c r="F1075" s="2" t="s">
        <v>0</v>
      </c>
      <c r="G1075" s="2" t="str">
        <f>"02"</f>
        <v>02</v>
      </c>
      <c r="H1075" s="3">
        <v>552</v>
      </c>
    </row>
    <row r="1076" spans="1:8" x14ac:dyDescent="0.25">
      <c r="A1076" s="2" t="str">
        <f>"00028055"</f>
        <v>00028055</v>
      </c>
      <c r="B1076" s="2" t="str">
        <f t="shared" si="47"/>
        <v>SG</v>
      </c>
      <c r="C1076" s="4" t="s">
        <v>706</v>
      </c>
      <c r="D1076" s="4" t="s">
        <v>0</v>
      </c>
      <c r="E1076" s="4" t="s">
        <v>12</v>
      </c>
      <c r="F1076" s="2" t="s">
        <v>0</v>
      </c>
      <c r="G1076" s="2" t="str">
        <f>"01"</f>
        <v>01</v>
      </c>
      <c r="H1076" s="3">
        <v>413</v>
      </c>
    </row>
    <row r="1077" spans="1:8" ht="29.25" x14ac:dyDescent="0.25">
      <c r="A1077" s="2" t="str">
        <f>"00028060"</f>
        <v>00028060</v>
      </c>
      <c r="B1077" s="2" t="str">
        <f t="shared" si="47"/>
        <v>SG</v>
      </c>
      <c r="C1077" s="4" t="s">
        <v>707</v>
      </c>
      <c r="D1077" s="4" t="s">
        <v>0</v>
      </c>
      <c r="E1077" s="4" t="s">
        <v>12</v>
      </c>
      <c r="F1077" s="2" t="s">
        <v>0</v>
      </c>
      <c r="G1077" s="2" t="str">
        <f t="shared" ref="G1077:G1086" si="49">"02"</f>
        <v>02</v>
      </c>
      <c r="H1077" s="3">
        <v>552</v>
      </c>
    </row>
    <row r="1078" spans="1:8" x14ac:dyDescent="0.25">
      <c r="A1078" s="2" t="str">
        <f>"00028062"</f>
        <v>00028062</v>
      </c>
      <c r="B1078" s="2" t="str">
        <f t="shared" si="47"/>
        <v>SG</v>
      </c>
      <c r="C1078" s="4" t="s">
        <v>708</v>
      </c>
      <c r="D1078" s="4" t="s">
        <v>0</v>
      </c>
      <c r="E1078" s="4" t="s">
        <v>12</v>
      </c>
      <c r="F1078" s="2" t="s">
        <v>0</v>
      </c>
      <c r="G1078" s="2" t="str">
        <f t="shared" si="49"/>
        <v>02</v>
      </c>
      <c r="H1078" s="3">
        <v>552</v>
      </c>
    </row>
    <row r="1079" spans="1:8" ht="29.25" x14ac:dyDescent="0.25">
      <c r="A1079" s="2" t="str">
        <f>"00028070"</f>
        <v>00028070</v>
      </c>
      <c r="B1079" s="2" t="str">
        <f t="shared" si="47"/>
        <v>SG</v>
      </c>
      <c r="C1079" s="4" t="s">
        <v>709</v>
      </c>
      <c r="D1079" s="4" t="s">
        <v>0</v>
      </c>
      <c r="E1079" s="4" t="s">
        <v>12</v>
      </c>
      <c r="F1079" s="2" t="s">
        <v>0</v>
      </c>
      <c r="G1079" s="2" t="str">
        <f t="shared" si="49"/>
        <v>02</v>
      </c>
      <c r="H1079" s="3">
        <v>552</v>
      </c>
    </row>
    <row r="1080" spans="1:8" ht="29.25" x14ac:dyDescent="0.25">
      <c r="A1080" s="2" t="str">
        <f>"00028072"</f>
        <v>00028072</v>
      </c>
      <c r="B1080" s="2" t="str">
        <f t="shared" si="47"/>
        <v>SG</v>
      </c>
      <c r="C1080" s="4" t="s">
        <v>709</v>
      </c>
      <c r="D1080" s="4" t="s">
        <v>0</v>
      </c>
      <c r="E1080" s="4" t="s">
        <v>12</v>
      </c>
      <c r="F1080" s="2" t="s">
        <v>0</v>
      </c>
      <c r="G1080" s="2" t="str">
        <f t="shared" si="49"/>
        <v>02</v>
      </c>
      <c r="H1080" s="3">
        <v>552</v>
      </c>
    </row>
    <row r="1081" spans="1:8" x14ac:dyDescent="0.25">
      <c r="A1081" s="2" t="str">
        <f>"00028080"</f>
        <v>00028080</v>
      </c>
      <c r="B1081" s="2" t="str">
        <f t="shared" si="47"/>
        <v>SG</v>
      </c>
      <c r="C1081" s="4" t="s">
        <v>710</v>
      </c>
      <c r="D1081" s="4" t="s">
        <v>0</v>
      </c>
      <c r="E1081" s="4" t="s">
        <v>12</v>
      </c>
      <c r="F1081" s="2" t="s">
        <v>0</v>
      </c>
      <c r="G1081" s="2" t="str">
        <f t="shared" si="49"/>
        <v>02</v>
      </c>
      <c r="H1081" s="3">
        <v>552</v>
      </c>
    </row>
    <row r="1082" spans="1:8" ht="29.25" x14ac:dyDescent="0.25">
      <c r="A1082" s="2" t="str">
        <f>"00028086"</f>
        <v>00028086</v>
      </c>
      <c r="B1082" s="2" t="str">
        <f t="shared" si="47"/>
        <v>SG</v>
      </c>
      <c r="C1082" s="4" t="s">
        <v>711</v>
      </c>
      <c r="D1082" s="4" t="s">
        <v>0</v>
      </c>
      <c r="E1082" s="4" t="s">
        <v>12</v>
      </c>
      <c r="F1082" s="2" t="s">
        <v>0</v>
      </c>
      <c r="G1082" s="2" t="str">
        <f t="shared" si="49"/>
        <v>02</v>
      </c>
      <c r="H1082" s="3">
        <v>552</v>
      </c>
    </row>
    <row r="1083" spans="1:8" ht="29.25" x14ac:dyDescent="0.25">
      <c r="A1083" s="2" t="str">
        <f>"00028088"</f>
        <v>00028088</v>
      </c>
      <c r="B1083" s="2" t="str">
        <f t="shared" si="47"/>
        <v>SG</v>
      </c>
      <c r="C1083" s="4" t="s">
        <v>711</v>
      </c>
      <c r="D1083" s="4" t="s">
        <v>0</v>
      </c>
      <c r="E1083" s="4" t="s">
        <v>12</v>
      </c>
      <c r="F1083" s="2" t="s">
        <v>0</v>
      </c>
      <c r="G1083" s="2" t="str">
        <f t="shared" si="49"/>
        <v>02</v>
      </c>
      <c r="H1083" s="3">
        <v>552</v>
      </c>
    </row>
    <row r="1084" spans="1:8" x14ac:dyDescent="0.25">
      <c r="A1084" s="2" t="str">
        <f>"00028090"</f>
        <v>00028090</v>
      </c>
      <c r="B1084" s="2" t="str">
        <f t="shared" si="47"/>
        <v>SG</v>
      </c>
      <c r="C1084" s="4" t="s">
        <v>710</v>
      </c>
      <c r="D1084" s="4" t="s">
        <v>0</v>
      </c>
      <c r="E1084" s="4" t="s">
        <v>12</v>
      </c>
      <c r="F1084" s="2" t="s">
        <v>0</v>
      </c>
      <c r="G1084" s="2" t="str">
        <f t="shared" si="49"/>
        <v>02</v>
      </c>
      <c r="H1084" s="3">
        <v>552</v>
      </c>
    </row>
    <row r="1085" spans="1:8" x14ac:dyDescent="0.25">
      <c r="A1085" s="2" t="str">
        <f>"00028092"</f>
        <v>00028092</v>
      </c>
      <c r="B1085" s="2" t="str">
        <f t="shared" si="47"/>
        <v>SG</v>
      </c>
      <c r="C1085" s="4" t="s">
        <v>712</v>
      </c>
      <c r="D1085" s="4" t="s">
        <v>0</v>
      </c>
      <c r="E1085" s="4" t="s">
        <v>12</v>
      </c>
      <c r="F1085" s="2" t="s">
        <v>0</v>
      </c>
      <c r="G1085" s="2" t="str">
        <f t="shared" si="49"/>
        <v>02</v>
      </c>
      <c r="H1085" s="3">
        <v>552</v>
      </c>
    </row>
    <row r="1086" spans="1:8" ht="29.25" x14ac:dyDescent="0.25">
      <c r="A1086" s="2" t="str">
        <f>"00028100"</f>
        <v>00028100</v>
      </c>
      <c r="B1086" s="2" t="str">
        <f t="shared" si="47"/>
        <v>SG</v>
      </c>
      <c r="C1086" s="4" t="s">
        <v>713</v>
      </c>
      <c r="D1086" s="4" t="s">
        <v>0</v>
      </c>
      <c r="E1086" s="4" t="s">
        <v>12</v>
      </c>
      <c r="F1086" s="2" t="s">
        <v>0</v>
      </c>
      <c r="G1086" s="2" t="str">
        <f t="shared" si="49"/>
        <v>02</v>
      </c>
      <c r="H1086" s="3">
        <v>552</v>
      </c>
    </row>
    <row r="1087" spans="1:8" ht="29.25" x14ac:dyDescent="0.25">
      <c r="A1087" s="2" t="str">
        <f>"00028102"</f>
        <v>00028102</v>
      </c>
      <c r="B1087" s="2" t="str">
        <f t="shared" si="47"/>
        <v>SG</v>
      </c>
      <c r="C1087" s="4" t="s">
        <v>714</v>
      </c>
      <c r="D1087" s="4" t="s">
        <v>0</v>
      </c>
      <c r="E1087" s="4" t="s">
        <v>12</v>
      </c>
      <c r="F1087" s="2" t="s">
        <v>0</v>
      </c>
      <c r="G1087" s="2" t="str">
        <f>"09"</f>
        <v>09</v>
      </c>
      <c r="H1087" s="3">
        <v>1662</v>
      </c>
    </row>
    <row r="1088" spans="1:8" ht="29.25" x14ac:dyDescent="0.25">
      <c r="A1088" s="2" t="str">
        <f>"00028103"</f>
        <v>00028103</v>
      </c>
      <c r="B1088" s="2" t="str">
        <f t="shared" si="47"/>
        <v>SG</v>
      </c>
      <c r="C1088" s="4" t="s">
        <v>714</v>
      </c>
      <c r="D1088" s="4" t="s">
        <v>0</v>
      </c>
      <c r="E1088" s="4" t="s">
        <v>12</v>
      </c>
      <c r="F1088" s="2" t="s">
        <v>0</v>
      </c>
      <c r="G1088" s="2" t="str">
        <f>"09"</f>
        <v>09</v>
      </c>
      <c r="H1088" s="3">
        <v>1662</v>
      </c>
    </row>
    <row r="1089" spans="1:8" x14ac:dyDescent="0.25">
      <c r="A1089" s="2" t="str">
        <f>"00028104"</f>
        <v>00028104</v>
      </c>
      <c r="B1089" s="2" t="str">
        <f t="shared" si="47"/>
        <v>SG</v>
      </c>
      <c r="C1089" s="4" t="s">
        <v>710</v>
      </c>
      <c r="D1089" s="4" t="s">
        <v>0</v>
      </c>
      <c r="E1089" s="4" t="s">
        <v>12</v>
      </c>
      <c r="F1089" s="2" t="s">
        <v>0</v>
      </c>
      <c r="G1089" s="2" t="str">
        <f>"02"</f>
        <v>02</v>
      </c>
      <c r="H1089" s="3">
        <v>552</v>
      </c>
    </row>
    <row r="1090" spans="1:8" ht="29.25" x14ac:dyDescent="0.25">
      <c r="A1090" s="2" t="str">
        <f>"00028106"</f>
        <v>00028106</v>
      </c>
      <c r="B1090" s="2" t="str">
        <f t="shared" si="47"/>
        <v>SG</v>
      </c>
      <c r="C1090" s="4" t="s">
        <v>714</v>
      </c>
      <c r="D1090" s="4" t="s">
        <v>0</v>
      </c>
      <c r="E1090" s="4" t="s">
        <v>12</v>
      </c>
      <c r="F1090" s="2" t="s">
        <v>0</v>
      </c>
      <c r="G1090" s="2" t="str">
        <f>"09"</f>
        <v>09</v>
      </c>
      <c r="H1090" s="3">
        <v>1662</v>
      </c>
    </row>
    <row r="1091" spans="1:8" ht="29.25" x14ac:dyDescent="0.25">
      <c r="A1091" s="2" t="str">
        <f>"00028107"</f>
        <v>00028107</v>
      </c>
      <c r="B1091" s="2" t="str">
        <f t="shared" si="47"/>
        <v>SG</v>
      </c>
      <c r="C1091" s="4" t="s">
        <v>714</v>
      </c>
      <c r="D1091" s="4" t="s">
        <v>0</v>
      </c>
      <c r="E1091" s="4" t="s">
        <v>12</v>
      </c>
      <c r="F1091" s="2" t="s">
        <v>0</v>
      </c>
      <c r="G1091" s="2" t="str">
        <f>"09"</f>
        <v>09</v>
      </c>
      <c r="H1091" s="3">
        <v>1662</v>
      </c>
    </row>
    <row r="1092" spans="1:8" x14ac:dyDescent="0.25">
      <c r="A1092" s="2" t="str">
        <f>"00028108"</f>
        <v>00028108</v>
      </c>
      <c r="B1092" s="2" t="str">
        <f t="shared" si="47"/>
        <v>SG</v>
      </c>
      <c r="C1092" s="4" t="s">
        <v>712</v>
      </c>
      <c r="D1092" s="4" t="s">
        <v>0</v>
      </c>
      <c r="E1092" s="4" t="s">
        <v>12</v>
      </c>
      <c r="F1092" s="2" t="s">
        <v>0</v>
      </c>
      <c r="G1092" s="2" t="str">
        <f t="shared" ref="G1092:G1111" si="50">"02"</f>
        <v>02</v>
      </c>
      <c r="H1092" s="3">
        <v>552</v>
      </c>
    </row>
    <row r="1093" spans="1:8" ht="29.25" x14ac:dyDescent="0.25">
      <c r="A1093" s="2" t="str">
        <f>"00028110"</f>
        <v>00028110</v>
      </c>
      <c r="B1093" s="2" t="str">
        <f t="shared" si="47"/>
        <v>SG</v>
      </c>
      <c r="C1093" s="4" t="s">
        <v>715</v>
      </c>
      <c r="D1093" s="4" t="s">
        <v>0</v>
      </c>
      <c r="E1093" s="4" t="s">
        <v>12</v>
      </c>
      <c r="F1093" s="2" t="s">
        <v>0</v>
      </c>
      <c r="G1093" s="2" t="str">
        <f t="shared" si="50"/>
        <v>02</v>
      </c>
      <c r="H1093" s="3">
        <v>552</v>
      </c>
    </row>
    <row r="1094" spans="1:8" ht="29.25" x14ac:dyDescent="0.25">
      <c r="A1094" s="2" t="str">
        <f>"00028111"</f>
        <v>00028111</v>
      </c>
      <c r="B1094" s="2" t="str">
        <f t="shared" si="47"/>
        <v>SG</v>
      </c>
      <c r="C1094" s="4" t="s">
        <v>715</v>
      </c>
      <c r="D1094" s="4" t="s">
        <v>0</v>
      </c>
      <c r="E1094" s="4" t="s">
        <v>12</v>
      </c>
      <c r="F1094" s="2" t="s">
        <v>0</v>
      </c>
      <c r="G1094" s="2" t="str">
        <f t="shared" si="50"/>
        <v>02</v>
      </c>
      <c r="H1094" s="3">
        <v>552</v>
      </c>
    </row>
    <row r="1095" spans="1:8" ht="29.25" x14ac:dyDescent="0.25">
      <c r="A1095" s="2" t="str">
        <f>"00028112"</f>
        <v>00028112</v>
      </c>
      <c r="B1095" s="2" t="str">
        <f t="shared" si="47"/>
        <v>SG</v>
      </c>
      <c r="C1095" s="4" t="s">
        <v>715</v>
      </c>
      <c r="D1095" s="4" t="s">
        <v>0</v>
      </c>
      <c r="E1095" s="4" t="s">
        <v>12</v>
      </c>
      <c r="F1095" s="2" t="s">
        <v>0</v>
      </c>
      <c r="G1095" s="2" t="str">
        <f t="shared" si="50"/>
        <v>02</v>
      </c>
      <c r="H1095" s="3">
        <v>552</v>
      </c>
    </row>
    <row r="1096" spans="1:8" ht="29.25" x14ac:dyDescent="0.25">
      <c r="A1096" s="2" t="str">
        <f>"00028113"</f>
        <v>00028113</v>
      </c>
      <c r="B1096" s="2" t="str">
        <f t="shared" si="47"/>
        <v>SG</v>
      </c>
      <c r="C1096" s="4" t="s">
        <v>715</v>
      </c>
      <c r="D1096" s="4" t="s">
        <v>0</v>
      </c>
      <c r="E1096" s="4" t="s">
        <v>12</v>
      </c>
      <c r="F1096" s="2" t="s">
        <v>0</v>
      </c>
      <c r="G1096" s="2" t="str">
        <f t="shared" si="50"/>
        <v>02</v>
      </c>
      <c r="H1096" s="3">
        <v>552</v>
      </c>
    </row>
    <row r="1097" spans="1:8" ht="29.25" x14ac:dyDescent="0.25">
      <c r="A1097" s="2" t="str">
        <f>"00028114"</f>
        <v>00028114</v>
      </c>
      <c r="B1097" s="2" t="str">
        <f t="shared" si="47"/>
        <v>SG</v>
      </c>
      <c r="C1097" s="4" t="s">
        <v>716</v>
      </c>
      <c r="D1097" s="4" t="s">
        <v>0</v>
      </c>
      <c r="E1097" s="4" t="s">
        <v>12</v>
      </c>
      <c r="F1097" s="2" t="s">
        <v>0</v>
      </c>
      <c r="G1097" s="2" t="str">
        <f t="shared" si="50"/>
        <v>02</v>
      </c>
      <c r="H1097" s="3">
        <v>552</v>
      </c>
    </row>
    <row r="1098" spans="1:8" x14ac:dyDescent="0.25">
      <c r="A1098" s="2" t="str">
        <f>"00028116"</f>
        <v>00028116</v>
      </c>
      <c r="B1098" s="2" t="str">
        <f t="shared" si="47"/>
        <v>SG</v>
      </c>
      <c r="C1098" s="4" t="s">
        <v>717</v>
      </c>
      <c r="D1098" s="4" t="s">
        <v>0</v>
      </c>
      <c r="E1098" s="4" t="s">
        <v>12</v>
      </c>
      <c r="F1098" s="2" t="s">
        <v>0</v>
      </c>
      <c r="G1098" s="2" t="str">
        <f t="shared" si="50"/>
        <v>02</v>
      </c>
      <c r="H1098" s="3">
        <v>552</v>
      </c>
    </row>
    <row r="1099" spans="1:8" x14ac:dyDescent="0.25">
      <c r="A1099" s="2" t="str">
        <f>"00028118"</f>
        <v>00028118</v>
      </c>
      <c r="B1099" s="2" t="str">
        <f t="shared" si="47"/>
        <v>SG</v>
      </c>
      <c r="C1099" s="4" t="s">
        <v>718</v>
      </c>
      <c r="D1099" s="4" t="s">
        <v>0</v>
      </c>
      <c r="E1099" s="4" t="s">
        <v>12</v>
      </c>
      <c r="F1099" s="2" t="s">
        <v>0</v>
      </c>
      <c r="G1099" s="2" t="str">
        <f t="shared" si="50"/>
        <v>02</v>
      </c>
      <c r="H1099" s="3">
        <v>552</v>
      </c>
    </row>
    <row r="1100" spans="1:8" x14ac:dyDescent="0.25">
      <c r="A1100" s="2" t="str">
        <f>"00028119"</f>
        <v>00028119</v>
      </c>
      <c r="B1100" s="2" t="str">
        <f t="shared" si="47"/>
        <v>SG</v>
      </c>
      <c r="C1100" s="4" t="s">
        <v>719</v>
      </c>
      <c r="D1100" s="4" t="s">
        <v>0</v>
      </c>
      <c r="E1100" s="4" t="s">
        <v>12</v>
      </c>
      <c r="F1100" s="2" t="s">
        <v>0</v>
      </c>
      <c r="G1100" s="2" t="str">
        <f t="shared" si="50"/>
        <v>02</v>
      </c>
      <c r="H1100" s="3">
        <v>552</v>
      </c>
    </row>
    <row r="1101" spans="1:8" ht="29.25" x14ac:dyDescent="0.25">
      <c r="A1101" s="2" t="str">
        <f>"00028120"</f>
        <v>00028120</v>
      </c>
      <c r="B1101" s="2" t="str">
        <f t="shared" ref="B1101:B1164" si="51">"SG"</f>
        <v>SG</v>
      </c>
      <c r="C1101" s="4" t="s">
        <v>720</v>
      </c>
      <c r="D1101" s="4" t="s">
        <v>0</v>
      </c>
      <c r="E1101" s="4" t="s">
        <v>12</v>
      </c>
      <c r="F1101" s="2" t="s">
        <v>0</v>
      </c>
      <c r="G1101" s="2" t="str">
        <f t="shared" si="50"/>
        <v>02</v>
      </c>
      <c r="H1101" s="3">
        <v>552</v>
      </c>
    </row>
    <row r="1102" spans="1:8" ht="29.25" x14ac:dyDescent="0.25">
      <c r="A1102" s="2" t="str">
        <f>"00028122"</f>
        <v>00028122</v>
      </c>
      <c r="B1102" s="2" t="str">
        <f t="shared" si="51"/>
        <v>SG</v>
      </c>
      <c r="C1102" s="4" t="s">
        <v>721</v>
      </c>
      <c r="D1102" s="4" t="s">
        <v>0</v>
      </c>
      <c r="E1102" s="4" t="s">
        <v>12</v>
      </c>
      <c r="F1102" s="2" t="s">
        <v>0</v>
      </c>
      <c r="G1102" s="2" t="str">
        <f t="shared" si="50"/>
        <v>02</v>
      </c>
      <c r="H1102" s="3">
        <v>552</v>
      </c>
    </row>
    <row r="1103" spans="1:8" x14ac:dyDescent="0.25">
      <c r="A1103" s="2" t="str">
        <f>"00028126"</f>
        <v>00028126</v>
      </c>
      <c r="B1103" s="2" t="str">
        <f t="shared" si="51"/>
        <v>SG</v>
      </c>
      <c r="C1103" s="4" t="s">
        <v>722</v>
      </c>
      <c r="D1103" s="4" t="s">
        <v>0</v>
      </c>
      <c r="E1103" s="4" t="s">
        <v>12</v>
      </c>
      <c r="F1103" s="2" t="s">
        <v>0</v>
      </c>
      <c r="G1103" s="2" t="str">
        <f t="shared" si="50"/>
        <v>02</v>
      </c>
      <c r="H1103" s="3">
        <v>552</v>
      </c>
    </row>
    <row r="1104" spans="1:8" x14ac:dyDescent="0.25">
      <c r="A1104" s="2" t="str">
        <f>"00028130"</f>
        <v>00028130</v>
      </c>
      <c r="B1104" s="2" t="str">
        <f t="shared" si="51"/>
        <v>SG</v>
      </c>
      <c r="C1104" s="4" t="s">
        <v>723</v>
      </c>
      <c r="D1104" s="4" t="s">
        <v>0</v>
      </c>
      <c r="E1104" s="4" t="s">
        <v>12</v>
      </c>
      <c r="F1104" s="2" t="s">
        <v>0</v>
      </c>
      <c r="G1104" s="2" t="str">
        <f t="shared" si="50"/>
        <v>02</v>
      </c>
      <c r="H1104" s="3">
        <v>552</v>
      </c>
    </row>
    <row r="1105" spans="1:8" x14ac:dyDescent="0.25">
      <c r="A1105" s="2" t="str">
        <f>"00028140"</f>
        <v>00028140</v>
      </c>
      <c r="B1105" s="2" t="str">
        <f t="shared" si="51"/>
        <v>SG</v>
      </c>
      <c r="C1105" s="4" t="s">
        <v>724</v>
      </c>
      <c r="D1105" s="4" t="s">
        <v>0</v>
      </c>
      <c r="E1105" s="4" t="s">
        <v>12</v>
      </c>
      <c r="F1105" s="2" t="s">
        <v>0</v>
      </c>
      <c r="G1105" s="2" t="str">
        <f t="shared" si="50"/>
        <v>02</v>
      </c>
      <c r="H1105" s="3">
        <v>552</v>
      </c>
    </row>
    <row r="1106" spans="1:8" x14ac:dyDescent="0.25">
      <c r="A1106" s="2" t="str">
        <f>"00028150"</f>
        <v>00028150</v>
      </c>
      <c r="B1106" s="2" t="str">
        <f t="shared" si="51"/>
        <v>SG</v>
      </c>
      <c r="C1106" s="4" t="s">
        <v>725</v>
      </c>
      <c r="D1106" s="4" t="s">
        <v>0</v>
      </c>
      <c r="E1106" s="4" t="s">
        <v>12</v>
      </c>
      <c r="F1106" s="2" t="s">
        <v>0</v>
      </c>
      <c r="G1106" s="2" t="str">
        <f t="shared" si="50"/>
        <v>02</v>
      </c>
      <c r="H1106" s="3">
        <v>552</v>
      </c>
    </row>
    <row r="1107" spans="1:8" x14ac:dyDescent="0.25">
      <c r="A1107" s="2" t="str">
        <f>"00028153"</f>
        <v>00028153</v>
      </c>
      <c r="B1107" s="2" t="str">
        <f t="shared" si="51"/>
        <v>SG</v>
      </c>
      <c r="C1107" s="4" t="s">
        <v>722</v>
      </c>
      <c r="D1107" s="4" t="s">
        <v>0</v>
      </c>
      <c r="E1107" s="4" t="s">
        <v>12</v>
      </c>
      <c r="F1107" s="2" t="s">
        <v>0</v>
      </c>
      <c r="G1107" s="2" t="str">
        <f t="shared" si="50"/>
        <v>02</v>
      </c>
      <c r="H1107" s="3">
        <v>552</v>
      </c>
    </row>
    <row r="1108" spans="1:8" x14ac:dyDescent="0.25">
      <c r="A1108" s="2" t="str">
        <f>"00028160"</f>
        <v>00028160</v>
      </c>
      <c r="B1108" s="2" t="str">
        <f t="shared" si="51"/>
        <v>SG</v>
      </c>
      <c r="C1108" s="4" t="s">
        <v>722</v>
      </c>
      <c r="D1108" s="4" t="s">
        <v>0</v>
      </c>
      <c r="E1108" s="4" t="s">
        <v>12</v>
      </c>
      <c r="F1108" s="2" t="s">
        <v>0</v>
      </c>
      <c r="G1108" s="2" t="str">
        <f t="shared" si="50"/>
        <v>02</v>
      </c>
      <c r="H1108" s="3">
        <v>552</v>
      </c>
    </row>
    <row r="1109" spans="1:8" x14ac:dyDescent="0.25">
      <c r="A1109" s="2" t="str">
        <f>"00028171"</f>
        <v>00028171</v>
      </c>
      <c r="B1109" s="2" t="str">
        <f t="shared" si="51"/>
        <v>SG</v>
      </c>
      <c r="C1109" s="4" t="s">
        <v>726</v>
      </c>
      <c r="D1109" s="4" t="s">
        <v>0</v>
      </c>
      <c r="E1109" s="4" t="s">
        <v>12</v>
      </c>
      <c r="F1109" s="2" t="s">
        <v>0</v>
      </c>
      <c r="G1109" s="2" t="str">
        <f t="shared" si="50"/>
        <v>02</v>
      </c>
      <c r="H1109" s="3">
        <v>552</v>
      </c>
    </row>
    <row r="1110" spans="1:8" x14ac:dyDescent="0.25">
      <c r="A1110" s="2" t="str">
        <f>"00028173"</f>
        <v>00028173</v>
      </c>
      <c r="B1110" s="2" t="str">
        <f t="shared" si="51"/>
        <v>SG</v>
      </c>
      <c r="C1110" s="4" t="s">
        <v>726</v>
      </c>
      <c r="D1110" s="4" t="s">
        <v>0</v>
      </c>
      <c r="E1110" s="4" t="s">
        <v>12</v>
      </c>
      <c r="F1110" s="2" t="s">
        <v>0</v>
      </c>
      <c r="G1110" s="2" t="str">
        <f t="shared" si="50"/>
        <v>02</v>
      </c>
      <c r="H1110" s="3">
        <v>552</v>
      </c>
    </row>
    <row r="1111" spans="1:8" x14ac:dyDescent="0.25">
      <c r="A1111" s="2" t="str">
        <f>"00028175"</f>
        <v>00028175</v>
      </c>
      <c r="B1111" s="2" t="str">
        <f t="shared" si="51"/>
        <v>SG</v>
      </c>
      <c r="C1111" s="4" t="s">
        <v>726</v>
      </c>
      <c r="D1111" s="4" t="s">
        <v>0</v>
      </c>
      <c r="E1111" s="4" t="s">
        <v>12</v>
      </c>
      <c r="F1111" s="2" t="s">
        <v>0</v>
      </c>
      <c r="G1111" s="2" t="str">
        <f t="shared" si="50"/>
        <v>02</v>
      </c>
      <c r="H1111" s="3">
        <v>552</v>
      </c>
    </row>
    <row r="1112" spans="1:8" ht="29.25" x14ac:dyDescent="0.25">
      <c r="A1112" s="2" t="str">
        <f>"00028192"</f>
        <v>00028192</v>
      </c>
      <c r="B1112" s="2" t="str">
        <f t="shared" si="51"/>
        <v>SG</v>
      </c>
      <c r="C1112" s="4" t="s">
        <v>727</v>
      </c>
      <c r="D1112" s="4" t="s">
        <v>0</v>
      </c>
      <c r="E1112" s="4" t="s">
        <v>12</v>
      </c>
      <c r="F1112" s="2" t="s">
        <v>0</v>
      </c>
      <c r="G1112" s="2" t="str">
        <f>"01"</f>
        <v>01</v>
      </c>
      <c r="H1112" s="3">
        <v>413</v>
      </c>
    </row>
    <row r="1113" spans="1:8" ht="29.25" x14ac:dyDescent="0.25">
      <c r="A1113" s="2" t="str">
        <f>"00028193"</f>
        <v>00028193</v>
      </c>
      <c r="B1113" s="2" t="str">
        <f t="shared" si="51"/>
        <v>SG</v>
      </c>
      <c r="C1113" s="4" t="s">
        <v>727</v>
      </c>
      <c r="D1113" s="4" t="s">
        <v>0</v>
      </c>
      <c r="E1113" s="4" t="s">
        <v>12</v>
      </c>
      <c r="F1113" s="2" t="s">
        <v>0</v>
      </c>
      <c r="G1113" s="2" t="str">
        <f>"01"</f>
        <v>01</v>
      </c>
      <c r="H1113" s="3">
        <v>413</v>
      </c>
    </row>
    <row r="1114" spans="1:8" x14ac:dyDescent="0.25">
      <c r="A1114" s="2" t="str">
        <f>"00028200"</f>
        <v>00028200</v>
      </c>
      <c r="B1114" s="2" t="str">
        <f t="shared" si="51"/>
        <v>SG</v>
      </c>
      <c r="C1114" s="4" t="s">
        <v>728</v>
      </c>
      <c r="D1114" s="4" t="s">
        <v>0</v>
      </c>
      <c r="E1114" s="4" t="s">
        <v>12</v>
      </c>
      <c r="F1114" s="2" t="s">
        <v>0</v>
      </c>
      <c r="G1114" s="2" t="str">
        <f>"02"</f>
        <v>02</v>
      </c>
      <c r="H1114" s="3">
        <v>552</v>
      </c>
    </row>
    <row r="1115" spans="1:8" ht="29.25" x14ac:dyDescent="0.25">
      <c r="A1115" s="2" t="str">
        <f>"00028202"</f>
        <v>00028202</v>
      </c>
      <c r="B1115" s="2" t="str">
        <f t="shared" si="51"/>
        <v>SG</v>
      </c>
      <c r="C1115" s="4" t="s">
        <v>729</v>
      </c>
      <c r="D1115" s="4" t="s">
        <v>0</v>
      </c>
      <c r="E1115" s="4" t="s">
        <v>12</v>
      </c>
      <c r="F1115" s="2" t="s">
        <v>0</v>
      </c>
      <c r="G1115" s="2" t="str">
        <f>"02"</f>
        <v>02</v>
      </c>
      <c r="H1115" s="3">
        <v>552</v>
      </c>
    </row>
    <row r="1116" spans="1:8" x14ac:dyDescent="0.25">
      <c r="A1116" s="2" t="str">
        <f>"00028208"</f>
        <v>00028208</v>
      </c>
      <c r="B1116" s="2" t="str">
        <f t="shared" si="51"/>
        <v>SG</v>
      </c>
      <c r="C1116" s="4" t="s">
        <v>728</v>
      </c>
      <c r="D1116" s="4" t="s">
        <v>0</v>
      </c>
      <c r="E1116" s="4" t="s">
        <v>12</v>
      </c>
      <c r="F1116" s="2" t="s">
        <v>0</v>
      </c>
      <c r="G1116" s="2" t="str">
        <f>"02"</f>
        <v>02</v>
      </c>
      <c r="H1116" s="3">
        <v>552</v>
      </c>
    </row>
    <row r="1117" spans="1:8" ht="29.25" x14ac:dyDescent="0.25">
      <c r="A1117" s="2" t="str">
        <f>"00028210"</f>
        <v>00028210</v>
      </c>
      <c r="B1117" s="2" t="str">
        <f t="shared" si="51"/>
        <v>SG</v>
      </c>
      <c r="C1117" s="4" t="s">
        <v>729</v>
      </c>
      <c r="D1117" s="4" t="s">
        <v>0</v>
      </c>
      <c r="E1117" s="4" t="s">
        <v>12</v>
      </c>
      <c r="F1117" s="2" t="s">
        <v>0</v>
      </c>
      <c r="G1117" s="2" t="str">
        <f>"09"</f>
        <v>09</v>
      </c>
      <c r="H1117" s="3">
        <v>1662</v>
      </c>
    </row>
    <row r="1118" spans="1:8" ht="29.25" x14ac:dyDescent="0.25">
      <c r="A1118" s="2" t="str">
        <f>"00028222"</f>
        <v>00028222</v>
      </c>
      <c r="B1118" s="2" t="str">
        <f t="shared" si="51"/>
        <v>SG</v>
      </c>
      <c r="C1118" s="4" t="s">
        <v>730</v>
      </c>
      <c r="D1118" s="4" t="s">
        <v>0</v>
      </c>
      <c r="E1118" s="4" t="s">
        <v>12</v>
      </c>
      <c r="F1118" s="2" t="s">
        <v>0</v>
      </c>
      <c r="G1118" s="2" t="str">
        <f>"02"</f>
        <v>02</v>
      </c>
      <c r="H1118" s="3">
        <v>552</v>
      </c>
    </row>
    <row r="1119" spans="1:8" ht="29.25" x14ac:dyDescent="0.25">
      <c r="A1119" s="2" t="str">
        <f>"00028225"</f>
        <v>00028225</v>
      </c>
      <c r="B1119" s="2" t="str">
        <f t="shared" si="51"/>
        <v>SG</v>
      </c>
      <c r="C1119" s="4" t="s">
        <v>731</v>
      </c>
      <c r="D1119" s="4" t="s">
        <v>0</v>
      </c>
      <c r="E1119" s="4" t="s">
        <v>12</v>
      </c>
      <c r="F1119" s="2" t="s">
        <v>0</v>
      </c>
      <c r="G1119" s="2" t="str">
        <f>"02"</f>
        <v>02</v>
      </c>
      <c r="H1119" s="3">
        <v>552</v>
      </c>
    </row>
    <row r="1120" spans="1:8" ht="29.25" x14ac:dyDescent="0.25">
      <c r="A1120" s="2" t="str">
        <f>"00028226"</f>
        <v>00028226</v>
      </c>
      <c r="B1120" s="2" t="str">
        <f t="shared" si="51"/>
        <v>SG</v>
      </c>
      <c r="C1120" s="4" t="s">
        <v>730</v>
      </c>
      <c r="D1120" s="4" t="s">
        <v>0</v>
      </c>
      <c r="E1120" s="4" t="s">
        <v>12</v>
      </c>
      <c r="F1120" s="2" t="s">
        <v>0</v>
      </c>
      <c r="G1120" s="2" t="str">
        <f>"02"</f>
        <v>02</v>
      </c>
      <c r="H1120" s="3">
        <v>552</v>
      </c>
    </row>
    <row r="1121" spans="1:8" x14ac:dyDescent="0.25">
      <c r="A1121" s="2" t="str">
        <f>"00028234"</f>
        <v>00028234</v>
      </c>
      <c r="B1121" s="2" t="str">
        <f t="shared" si="51"/>
        <v>SG</v>
      </c>
      <c r="C1121" s="4" t="s">
        <v>732</v>
      </c>
      <c r="D1121" s="4" t="s">
        <v>0</v>
      </c>
      <c r="E1121" s="4" t="s">
        <v>12</v>
      </c>
      <c r="F1121" s="2" t="s">
        <v>0</v>
      </c>
      <c r="G1121" s="2" t="str">
        <f>"02"</f>
        <v>02</v>
      </c>
      <c r="H1121" s="3">
        <v>552</v>
      </c>
    </row>
    <row r="1122" spans="1:8" ht="29.25" x14ac:dyDescent="0.25">
      <c r="A1122" s="2" t="str">
        <f>"00028238"</f>
        <v>00028238</v>
      </c>
      <c r="B1122" s="2" t="str">
        <f t="shared" si="51"/>
        <v>SG</v>
      </c>
      <c r="C1122" s="4" t="s">
        <v>733</v>
      </c>
      <c r="D1122" s="4" t="s">
        <v>0</v>
      </c>
      <c r="E1122" s="4" t="s">
        <v>12</v>
      </c>
      <c r="F1122" s="2" t="s">
        <v>0</v>
      </c>
      <c r="G1122" s="2" t="str">
        <f>"09"</f>
        <v>09</v>
      </c>
      <c r="H1122" s="3">
        <v>1662</v>
      </c>
    </row>
    <row r="1123" spans="1:8" x14ac:dyDescent="0.25">
      <c r="A1123" s="2" t="str">
        <f>"00028240"</f>
        <v>00028240</v>
      </c>
      <c r="B1123" s="2" t="str">
        <f t="shared" si="51"/>
        <v>SG</v>
      </c>
      <c r="C1123" s="4" t="s">
        <v>734</v>
      </c>
      <c r="D1123" s="4" t="s">
        <v>0</v>
      </c>
      <c r="E1123" s="4" t="s">
        <v>12</v>
      </c>
      <c r="F1123" s="2" t="s">
        <v>0</v>
      </c>
      <c r="G1123" s="2" t="str">
        <f>"02"</f>
        <v>02</v>
      </c>
      <c r="H1123" s="3">
        <v>552</v>
      </c>
    </row>
    <row r="1124" spans="1:8" x14ac:dyDescent="0.25">
      <c r="A1124" s="2" t="str">
        <f>"00028250"</f>
        <v>00028250</v>
      </c>
      <c r="B1124" s="2" t="str">
        <f t="shared" si="51"/>
        <v>SG</v>
      </c>
      <c r="C1124" s="4" t="s">
        <v>735</v>
      </c>
      <c r="D1124" s="4" t="s">
        <v>0</v>
      </c>
      <c r="E1124" s="4" t="s">
        <v>12</v>
      </c>
      <c r="F1124" s="2" t="s">
        <v>0</v>
      </c>
      <c r="G1124" s="2" t="str">
        <f>"02"</f>
        <v>02</v>
      </c>
      <c r="H1124" s="3">
        <v>552</v>
      </c>
    </row>
    <row r="1125" spans="1:8" ht="29.25" x14ac:dyDescent="0.25">
      <c r="A1125" s="2" t="str">
        <f>"00028260"</f>
        <v>00028260</v>
      </c>
      <c r="B1125" s="2" t="str">
        <f t="shared" si="51"/>
        <v>SG</v>
      </c>
      <c r="C1125" s="4" t="s">
        <v>736</v>
      </c>
      <c r="D1125" s="4" t="s">
        <v>0</v>
      </c>
      <c r="E1125" s="4" t="s">
        <v>12</v>
      </c>
      <c r="F1125" s="2" t="s">
        <v>0</v>
      </c>
      <c r="G1125" s="2" t="str">
        <f>"02"</f>
        <v>02</v>
      </c>
      <c r="H1125" s="3">
        <v>552</v>
      </c>
    </row>
    <row r="1126" spans="1:8" ht="29.25" x14ac:dyDescent="0.25">
      <c r="A1126" s="2" t="str">
        <f>"00028261"</f>
        <v>00028261</v>
      </c>
      <c r="B1126" s="2" t="str">
        <f t="shared" si="51"/>
        <v>SG</v>
      </c>
      <c r="C1126" s="4" t="s">
        <v>733</v>
      </c>
      <c r="D1126" s="4" t="s">
        <v>0</v>
      </c>
      <c r="E1126" s="4" t="s">
        <v>12</v>
      </c>
      <c r="F1126" s="2" t="s">
        <v>0</v>
      </c>
      <c r="G1126" s="2" t="str">
        <f>"02"</f>
        <v>02</v>
      </c>
      <c r="H1126" s="3">
        <v>552</v>
      </c>
    </row>
    <row r="1127" spans="1:8" ht="29.25" x14ac:dyDescent="0.25">
      <c r="A1127" s="2" t="str">
        <f>"00028262"</f>
        <v>00028262</v>
      </c>
      <c r="B1127" s="2" t="str">
        <f t="shared" si="51"/>
        <v>SG</v>
      </c>
      <c r="C1127" s="4" t="s">
        <v>737</v>
      </c>
      <c r="D1127" s="4" t="s">
        <v>0</v>
      </c>
      <c r="E1127" s="4" t="s">
        <v>12</v>
      </c>
      <c r="F1127" s="2" t="s">
        <v>0</v>
      </c>
      <c r="G1127" s="2" t="str">
        <f>"02"</f>
        <v>02</v>
      </c>
      <c r="H1127" s="3">
        <v>552</v>
      </c>
    </row>
    <row r="1128" spans="1:8" ht="29.25" x14ac:dyDescent="0.25">
      <c r="A1128" s="2" t="str">
        <f>"00028264"</f>
        <v>00028264</v>
      </c>
      <c r="B1128" s="2" t="str">
        <f t="shared" si="51"/>
        <v>SG</v>
      </c>
      <c r="C1128" s="4" t="s">
        <v>736</v>
      </c>
      <c r="D1128" s="4" t="s">
        <v>0</v>
      </c>
      <c r="E1128" s="4" t="s">
        <v>12</v>
      </c>
      <c r="F1128" s="2" t="s">
        <v>0</v>
      </c>
      <c r="G1128" s="2" t="str">
        <f>"09"</f>
        <v>09</v>
      </c>
      <c r="H1128" s="3">
        <v>1662</v>
      </c>
    </row>
    <row r="1129" spans="1:8" ht="29.25" x14ac:dyDescent="0.25">
      <c r="A1129" s="2" t="str">
        <f>"00028270"</f>
        <v>00028270</v>
      </c>
      <c r="B1129" s="2" t="str">
        <f t="shared" si="51"/>
        <v>SG</v>
      </c>
      <c r="C1129" s="4" t="s">
        <v>738</v>
      </c>
      <c r="D1129" s="4" t="s">
        <v>0</v>
      </c>
      <c r="E1129" s="4" t="s">
        <v>12</v>
      </c>
      <c r="F1129" s="2" t="s">
        <v>0</v>
      </c>
      <c r="G1129" s="2" t="str">
        <f t="shared" ref="G1129:G1134" si="52">"02"</f>
        <v>02</v>
      </c>
      <c r="H1129" s="3">
        <v>552</v>
      </c>
    </row>
    <row r="1130" spans="1:8" x14ac:dyDescent="0.25">
      <c r="A1130" s="2" t="str">
        <f>"00028280"</f>
        <v>00028280</v>
      </c>
      <c r="B1130" s="2" t="str">
        <f t="shared" si="51"/>
        <v>SG</v>
      </c>
      <c r="C1130" s="4" t="s">
        <v>739</v>
      </c>
      <c r="D1130" s="4" t="s">
        <v>0</v>
      </c>
      <c r="E1130" s="4" t="s">
        <v>12</v>
      </c>
      <c r="F1130" s="2" t="s">
        <v>0</v>
      </c>
      <c r="G1130" s="2" t="str">
        <f t="shared" si="52"/>
        <v>02</v>
      </c>
      <c r="H1130" s="3">
        <v>552</v>
      </c>
    </row>
    <row r="1131" spans="1:8" x14ac:dyDescent="0.25">
      <c r="A1131" s="2" t="str">
        <f>"00028285"</f>
        <v>00028285</v>
      </c>
      <c r="B1131" s="2" t="str">
        <f t="shared" si="51"/>
        <v>SG</v>
      </c>
      <c r="C1131" s="4" t="s">
        <v>740</v>
      </c>
      <c r="D1131" s="4" t="s">
        <v>0</v>
      </c>
      <c r="E1131" s="4" t="s">
        <v>12</v>
      </c>
      <c r="F1131" s="2" t="s">
        <v>0</v>
      </c>
      <c r="G1131" s="2" t="str">
        <f t="shared" si="52"/>
        <v>02</v>
      </c>
      <c r="H1131" s="3">
        <v>552</v>
      </c>
    </row>
    <row r="1132" spans="1:8" x14ac:dyDescent="0.25">
      <c r="A1132" s="2" t="str">
        <f>"00028286"</f>
        <v>00028286</v>
      </c>
      <c r="B1132" s="2" t="str">
        <f t="shared" si="51"/>
        <v>SG</v>
      </c>
      <c r="C1132" s="4" t="s">
        <v>740</v>
      </c>
      <c r="D1132" s="4" t="s">
        <v>0</v>
      </c>
      <c r="E1132" s="4" t="s">
        <v>12</v>
      </c>
      <c r="F1132" s="2" t="s">
        <v>0</v>
      </c>
      <c r="G1132" s="2" t="str">
        <f t="shared" si="52"/>
        <v>02</v>
      </c>
      <c r="H1132" s="3">
        <v>552</v>
      </c>
    </row>
    <row r="1133" spans="1:8" ht="29.25" x14ac:dyDescent="0.25">
      <c r="A1133" s="2" t="str">
        <f>"00028288"</f>
        <v>00028288</v>
      </c>
      <c r="B1133" s="2" t="str">
        <f t="shared" si="51"/>
        <v>SG</v>
      </c>
      <c r="C1133" s="4" t="s">
        <v>721</v>
      </c>
      <c r="D1133" s="4" t="s">
        <v>0</v>
      </c>
      <c r="E1133" s="4" t="s">
        <v>12</v>
      </c>
      <c r="F1133" s="2" t="s">
        <v>0</v>
      </c>
      <c r="G1133" s="2" t="str">
        <f t="shared" si="52"/>
        <v>02</v>
      </c>
      <c r="H1133" s="3">
        <v>552</v>
      </c>
    </row>
    <row r="1134" spans="1:8" x14ac:dyDescent="0.25">
      <c r="A1134" s="2" t="str">
        <f>"00028289"</f>
        <v>00028289</v>
      </c>
      <c r="B1134" s="2" t="str">
        <f t="shared" si="51"/>
        <v>SG</v>
      </c>
      <c r="C1134" s="4" t="s">
        <v>741</v>
      </c>
      <c r="D1134" s="4" t="s">
        <v>0</v>
      </c>
      <c r="E1134" s="4" t="s">
        <v>12</v>
      </c>
      <c r="F1134" s="2" t="s">
        <v>0</v>
      </c>
      <c r="G1134" s="2" t="str">
        <f t="shared" si="52"/>
        <v>02</v>
      </c>
      <c r="H1134" s="3">
        <v>552</v>
      </c>
    </row>
    <row r="1135" spans="1:8" x14ac:dyDescent="0.25">
      <c r="A1135" s="2" t="str">
        <f>"00028291"</f>
        <v>00028291</v>
      </c>
      <c r="B1135" s="2" t="str">
        <f t="shared" si="51"/>
        <v>SG</v>
      </c>
      <c r="C1135" s="4" t="s">
        <v>742</v>
      </c>
      <c r="D1135" s="4" t="s">
        <v>0</v>
      </c>
      <c r="E1135" s="4" t="s">
        <v>12</v>
      </c>
      <c r="F1135" s="2" t="s">
        <v>0</v>
      </c>
      <c r="G1135" s="2" t="str">
        <f t="shared" ref="G1135:G1140" si="53">"04"</f>
        <v>04</v>
      </c>
      <c r="H1135" s="3">
        <v>785</v>
      </c>
    </row>
    <row r="1136" spans="1:8" x14ac:dyDescent="0.25">
      <c r="A1136" s="2" t="str">
        <f>"00028292"</f>
        <v>00028292</v>
      </c>
      <c r="B1136" s="2" t="str">
        <f t="shared" si="51"/>
        <v>SG</v>
      </c>
      <c r="C1136" s="4" t="s">
        <v>742</v>
      </c>
      <c r="D1136" s="4" t="s">
        <v>0</v>
      </c>
      <c r="E1136" s="4" t="s">
        <v>12</v>
      </c>
      <c r="F1136" s="2" t="s">
        <v>0</v>
      </c>
      <c r="G1136" s="2" t="str">
        <f t="shared" si="53"/>
        <v>04</v>
      </c>
      <c r="H1136" s="3">
        <v>785</v>
      </c>
    </row>
    <row r="1137" spans="1:8" x14ac:dyDescent="0.25">
      <c r="A1137" s="2" t="str">
        <f>"00028296"</f>
        <v>00028296</v>
      </c>
      <c r="B1137" s="2" t="str">
        <f t="shared" si="51"/>
        <v>SG</v>
      </c>
      <c r="C1137" s="4" t="s">
        <v>742</v>
      </c>
      <c r="D1137" s="4" t="s">
        <v>0</v>
      </c>
      <c r="E1137" s="4" t="s">
        <v>12</v>
      </c>
      <c r="F1137" s="2" t="s">
        <v>0</v>
      </c>
      <c r="G1137" s="2" t="str">
        <f t="shared" si="53"/>
        <v>04</v>
      </c>
      <c r="H1137" s="3">
        <v>785</v>
      </c>
    </row>
    <row r="1138" spans="1:8" x14ac:dyDescent="0.25">
      <c r="A1138" s="2" t="str">
        <f>"00028297"</f>
        <v>00028297</v>
      </c>
      <c r="B1138" s="2" t="str">
        <f t="shared" si="51"/>
        <v>SG</v>
      </c>
      <c r="C1138" s="4" t="s">
        <v>742</v>
      </c>
      <c r="D1138" s="4" t="s">
        <v>0</v>
      </c>
      <c r="E1138" s="4" t="s">
        <v>12</v>
      </c>
      <c r="F1138" s="2" t="s">
        <v>0</v>
      </c>
      <c r="G1138" s="2" t="str">
        <f t="shared" si="53"/>
        <v>04</v>
      </c>
      <c r="H1138" s="3">
        <v>785</v>
      </c>
    </row>
    <row r="1139" spans="1:8" x14ac:dyDescent="0.25">
      <c r="A1139" s="2" t="str">
        <f>"00028298"</f>
        <v>00028298</v>
      </c>
      <c r="B1139" s="2" t="str">
        <f t="shared" si="51"/>
        <v>SG</v>
      </c>
      <c r="C1139" s="4" t="s">
        <v>742</v>
      </c>
      <c r="D1139" s="4" t="s">
        <v>0</v>
      </c>
      <c r="E1139" s="4" t="s">
        <v>12</v>
      </c>
      <c r="F1139" s="2" t="s">
        <v>0</v>
      </c>
      <c r="G1139" s="2" t="str">
        <f t="shared" si="53"/>
        <v>04</v>
      </c>
      <c r="H1139" s="3">
        <v>785</v>
      </c>
    </row>
    <row r="1140" spans="1:8" x14ac:dyDescent="0.25">
      <c r="A1140" s="2" t="str">
        <f>"00028299"</f>
        <v>00028299</v>
      </c>
      <c r="B1140" s="2" t="str">
        <f t="shared" si="51"/>
        <v>SG</v>
      </c>
      <c r="C1140" s="4" t="s">
        <v>742</v>
      </c>
      <c r="D1140" s="4" t="s">
        <v>0</v>
      </c>
      <c r="E1140" s="4" t="s">
        <v>12</v>
      </c>
      <c r="F1140" s="2" t="s">
        <v>0</v>
      </c>
      <c r="G1140" s="2" t="str">
        <f t="shared" si="53"/>
        <v>04</v>
      </c>
      <c r="H1140" s="3">
        <v>785</v>
      </c>
    </row>
    <row r="1141" spans="1:8" x14ac:dyDescent="0.25">
      <c r="A1141" s="2" t="str">
        <f>"00028300"</f>
        <v>00028300</v>
      </c>
      <c r="B1141" s="2" t="str">
        <f t="shared" si="51"/>
        <v>SG</v>
      </c>
      <c r="C1141" s="4" t="s">
        <v>743</v>
      </c>
      <c r="D1141" s="4" t="s">
        <v>0</v>
      </c>
      <c r="E1141" s="4" t="s">
        <v>12</v>
      </c>
      <c r="F1141" s="2" t="s">
        <v>0</v>
      </c>
      <c r="G1141" s="2" t="str">
        <f>"09"</f>
        <v>09</v>
      </c>
      <c r="H1141" s="3">
        <v>1662</v>
      </c>
    </row>
    <row r="1142" spans="1:8" x14ac:dyDescent="0.25">
      <c r="A1142" s="2" t="str">
        <f>"00028302"</f>
        <v>00028302</v>
      </c>
      <c r="B1142" s="2" t="str">
        <f t="shared" si="51"/>
        <v>SG</v>
      </c>
      <c r="C1142" s="4" t="s">
        <v>744</v>
      </c>
      <c r="D1142" s="4" t="s">
        <v>0</v>
      </c>
      <c r="E1142" s="4" t="s">
        <v>12</v>
      </c>
      <c r="F1142" s="2" t="s">
        <v>0</v>
      </c>
      <c r="G1142" s="2" t="str">
        <f>"02"</f>
        <v>02</v>
      </c>
      <c r="H1142" s="3">
        <v>552</v>
      </c>
    </row>
    <row r="1143" spans="1:8" ht="29.25" x14ac:dyDescent="0.25">
      <c r="A1143" s="2" t="str">
        <f>"00028304"</f>
        <v>00028304</v>
      </c>
      <c r="B1143" s="2" t="str">
        <f t="shared" si="51"/>
        <v>SG</v>
      </c>
      <c r="C1143" s="4" t="s">
        <v>745</v>
      </c>
      <c r="D1143" s="4" t="s">
        <v>0</v>
      </c>
      <c r="E1143" s="4" t="s">
        <v>12</v>
      </c>
      <c r="F1143" s="2" t="s">
        <v>0</v>
      </c>
      <c r="G1143" s="2" t="str">
        <f>"09"</f>
        <v>09</v>
      </c>
      <c r="H1143" s="3">
        <v>1662</v>
      </c>
    </row>
    <row r="1144" spans="1:8" ht="29.25" x14ac:dyDescent="0.25">
      <c r="A1144" s="2" t="str">
        <f>"00028305"</f>
        <v>00028305</v>
      </c>
      <c r="B1144" s="2" t="str">
        <f t="shared" si="51"/>
        <v>SG</v>
      </c>
      <c r="C1144" s="4" t="s">
        <v>746</v>
      </c>
      <c r="D1144" s="4" t="s">
        <v>0</v>
      </c>
      <c r="E1144" s="4" t="s">
        <v>12</v>
      </c>
      <c r="F1144" s="2" t="s">
        <v>0</v>
      </c>
      <c r="G1144" s="2" t="str">
        <f>"09"</f>
        <v>09</v>
      </c>
      <c r="H1144" s="3">
        <v>1662</v>
      </c>
    </row>
    <row r="1145" spans="1:8" x14ac:dyDescent="0.25">
      <c r="A1145" s="2" t="str">
        <f>"00028306"</f>
        <v>00028306</v>
      </c>
      <c r="B1145" s="2" t="str">
        <f t="shared" si="51"/>
        <v>SG</v>
      </c>
      <c r="C1145" s="4" t="s">
        <v>747</v>
      </c>
      <c r="D1145" s="4" t="s">
        <v>0</v>
      </c>
      <c r="E1145" s="4" t="s">
        <v>12</v>
      </c>
      <c r="F1145" s="2" t="s">
        <v>0</v>
      </c>
      <c r="G1145" s="2" t="str">
        <f>"02"</f>
        <v>02</v>
      </c>
      <c r="H1145" s="3">
        <v>552</v>
      </c>
    </row>
    <row r="1146" spans="1:8" x14ac:dyDescent="0.25">
      <c r="A1146" s="2" t="str">
        <f>"00028307"</f>
        <v>00028307</v>
      </c>
      <c r="B1146" s="2" t="str">
        <f t="shared" si="51"/>
        <v>SG</v>
      </c>
      <c r="C1146" s="4" t="s">
        <v>747</v>
      </c>
      <c r="D1146" s="4" t="s">
        <v>0</v>
      </c>
      <c r="E1146" s="4" t="s">
        <v>12</v>
      </c>
      <c r="F1146" s="2" t="s">
        <v>0</v>
      </c>
      <c r="G1146" s="2" t="str">
        <f>"02"</f>
        <v>02</v>
      </c>
      <c r="H1146" s="3">
        <v>552</v>
      </c>
    </row>
    <row r="1147" spans="1:8" x14ac:dyDescent="0.25">
      <c r="A1147" s="2" t="str">
        <f>"00028308"</f>
        <v>00028308</v>
      </c>
      <c r="B1147" s="2" t="str">
        <f t="shared" si="51"/>
        <v>SG</v>
      </c>
      <c r="C1147" s="4" t="s">
        <v>747</v>
      </c>
      <c r="D1147" s="4" t="s">
        <v>0</v>
      </c>
      <c r="E1147" s="4" t="s">
        <v>12</v>
      </c>
      <c r="F1147" s="2" t="s">
        <v>0</v>
      </c>
      <c r="G1147" s="2" t="str">
        <f>"02"</f>
        <v>02</v>
      </c>
      <c r="H1147" s="3">
        <v>552</v>
      </c>
    </row>
    <row r="1148" spans="1:8" x14ac:dyDescent="0.25">
      <c r="A1148" s="2" t="str">
        <f>"00028309"</f>
        <v>00028309</v>
      </c>
      <c r="B1148" s="2" t="str">
        <f t="shared" si="51"/>
        <v>SG</v>
      </c>
      <c r="C1148" s="4" t="s">
        <v>748</v>
      </c>
      <c r="D1148" s="4" t="s">
        <v>0</v>
      </c>
      <c r="E1148" s="4" t="s">
        <v>12</v>
      </c>
      <c r="F1148" s="2" t="s">
        <v>0</v>
      </c>
      <c r="G1148" s="2" t="str">
        <f>"09"</f>
        <v>09</v>
      </c>
      <c r="H1148" s="3">
        <v>1662</v>
      </c>
    </row>
    <row r="1149" spans="1:8" x14ac:dyDescent="0.25">
      <c r="A1149" s="2" t="str">
        <f>"00028310"</f>
        <v>00028310</v>
      </c>
      <c r="B1149" s="2" t="str">
        <f t="shared" si="51"/>
        <v>SG</v>
      </c>
      <c r="C1149" s="4" t="s">
        <v>749</v>
      </c>
      <c r="D1149" s="4" t="s">
        <v>0</v>
      </c>
      <c r="E1149" s="4" t="s">
        <v>12</v>
      </c>
      <c r="F1149" s="2" t="s">
        <v>0</v>
      </c>
      <c r="G1149" s="2" t="str">
        <f>"02"</f>
        <v>02</v>
      </c>
      <c r="H1149" s="3">
        <v>552</v>
      </c>
    </row>
    <row r="1150" spans="1:8" x14ac:dyDescent="0.25">
      <c r="A1150" s="2" t="str">
        <f>"00028312"</f>
        <v>00028312</v>
      </c>
      <c r="B1150" s="2" t="str">
        <f t="shared" si="51"/>
        <v>SG</v>
      </c>
      <c r="C1150" s="4" t="s">
        <v>750</v>
      </c>
      <c r="D1150" s="4" t="s">
        <v>0</v>
      </c>
      <c r="E1150" s="4" t="s">
        <v>12</v>
      </c>
      <c r="F1150" s="2" t="s">
        <v>0</v>
      </c>
      <c r="G1150" s="2" t="str">
        <f>"02"</f>
        <v>02</v>
      </c>
      <c r="H1150" s="3">
        <v>552</v>
      </c>
    </row>
    <row r="1151" spans="1:8" x14ac:dyDescent="0.25">
      <c r="A1151" s="2" t="str">
        <f>"00028313"</f>
        <v>00028313</v>
      </c>
      <c r="B1151" s="2" t="str">
        <f t="shared" si="51"/>
        <v>SG</v>
      </c>
      <c r="C1151" s="4" t="s">
        <v>751</v>
      </c>
      <c r="D1151" s="4" t="s">
        <v>0</v>
      </c>
      <c r="E1151" s="4" t="s">
        <v>12</v>
      </c>
      <c r="F1151" s="2" t="s">
        <v>0</v>
      </c>
      <c r="G1151" s="2" t="str">
        <f>"02"</f>
        <v>02</v>
      </c>
      <c r="H1151" s="3">
        <v>552</v>
      </c>
    </row>
    <row r="1152" spans="1:8" ht="29.25" x14ac:dyDescent="0.25">
      <c r="A1152" s="2" t="str">
        <f>"00028315"</f>
        <v>00028315</v>
      </c>
      <c r="B1152" s="2" t="str">
        <f t="shared" si="51"/>
        <v>SG</v>
      </c>
      <c r="C1152" s="4" t="s">
        <v>752</v>
      </c>
      <c r="D1152" s="4" t="s">
        <v>0</v>
      </c>
      <c r="E1152" s="4" t="s">
        <v>12</v>
      </c>
      <c r="F1152" s="2" t="s">
        <v>0</v>
      </c>
      <c r="G1152" s="2" t="str">
        <f>"02"</f>
        <v>02</v>
      </c>
      <c r="H1152" s="3">
        <v>552</v>
      </c>
    </row>
    <row r="1153" spans="1:8" x14ac:dyDescent="0.25">
      <c r="A1153" s="2" t="str">
        <f>"00028320"</f>
        <v>00028320</v>
      </c>
      <c r="B1153" s="2" t="str">
        <f t="shared" si="51"/>
        <v>SG</v>
      </c>
      <c r="C1153" s="4" t="s">
        <v>753</v>
      </c>
      <c r="D1153" s="4" t="s">
        <v>0</v>
      </c>
      <c r="E1153" s="4" t="s">
        <v>12</v>
      </c>
      <c r="F1153" s="2" t="s">
        <v>0</v>
      </c>
      <c r="G1153" s="2" t="str">
        <f>"09"</f>
        <v>09</v>
      </c>
      <c r="H1153" s="3">
        <v>1662</v>
      </c>
    </row>
    <row r="1154" spans="1:8" x14ac:dyDescent="0.25">
      <c r="A1154" s="2" t="str">
        <f>"00028322"</f>
        <v>00028322</v>
      </c>
      <c r="B1154" s="2" t="str">
        <f t="shared" si="51"/>
        <v>SG</v>
      </c>
      <c r="C1154" s="4" t="s">
        <v>754</v>
      </c>
      <c r="D1154" s="4" t="s">
        <v>0</v>
      </c>
      <c r="E1154" s="4" t="s">
        <v>12</v>
      </c>
      <c r="F1154" s="2" t="s">
        <v>0</v>
      </c>
      <c r="G1154" s="2" t="str">
        <f>"02"</f>
        <v>02</v>
      </c>
      <c r="H1154" s="3">
        <v>552</v>
      </c>
    </row>
    <row r="1155" spans="1:8" ht="29.25" x14ac:dyDescent="0.25">
      <c r="A1155" s="2" t="str">
        <f>"00028340"</f>
        <v>00028340</v>
      </c>
      <c r="B1155" s="2" t="str">
        <f t="shared" si="51"/>
        <v>SG</v>
      </c>
      <c r="C1155" s="4" t="s">
        <v>755</v>
      </c>
      <c r="D1155" s="4" t="s">
        <v>0</v>
      </c>
      <c r="E1155" s="4" t="s">
        <v>12</v>
      </c>
      <c r="F1155" s="2" t="s">
        <v>0</v>
      </c>
      <c r="G1155" s="2" t="str">
        <f>"02"</f>
        <v>02</v>
      </c>
      <c r="H1155" s="3">
        <v>552</v>
      </c>
    </row>
    <row r="1156" spans="1:8" x14ac:dyDescent="0.25">
      <c r="A1156" s="2" t="str">
        <f>"00028341"</f>
        <v>00028341</v>
      </c>
      <c r="B1156" s="2" t="str">
        <f t="shared" si="51"/>
        <v>SG</v>
      </c>
      <c r="C1156" s="4" t="s">
        <v>756</v>
      </c>
      <c r="D1156" s="4" t="s">
        <v>0</v>
      </c>
      <c r="E1156" s="4" t="s">
        <v>12</v>
      </c>
      <c r="F1156" s="2" t="s">
        <v>0</v>
      </c>
      <c r="G1156" s="2" t="str">
        <f>"02"</f>
        <v>02</v>
      </c>
      <c r="H1156" s="3">
        <v>552</v>
      </c>
    </row>
    <row r="1157" spans="1:8" x14ac:dyDescent="0.25">
      <c r="A1157" s="2" t="str">
        <f>"00028344"</f>
        <v>00028344</v>
      </c>
      <c r="B1157" s="2" t="str">
        <f t="shared" si="51"/>
        <v>SG</v>
      </c>
      <c r="C1157" s="4" t="s">
        <v>757</v>
      </c>
      <c r="D1157" s="4" t="s">
        <v>0</v>
      </c>
      <c r="E1157" s="4" t="s">
        <v>12</v>
      </c>
      <c r="F1157" s="2" t="s">
        <v>0</v>
      </c>
      <c r="G1157" s="2" t="str">
        <f>"02"</f>
        <v>02</v>
      </c>
      <c r="H1157" s="3">
        <v>552</v>
      </c>
    </row>
    <row r="1158" spans="1:8" x14ac:dyDescent="0.25">
      <c r="A1158" s="2" t="str">
        <f>"00028345"</f>
        <v>00028345</v>
      </c>
      <c r="B1158" s="2" t="str">
        <f t="shared" si="51"/>
        <v>SG</v>
      </c>
      <c r="C1158" s="4" t="s">
        <v>758</v>
      </c>
      <c r="D1158" s="4" t="s">
        <v>0</v>
      </c>
      <c r="E1158" s="4" t="s">
        <v>12</v>
      </c>
      <c r="F1158" s="2" t="s">
        <v>0</v>
      </c>
      <c r="G1158" s="2" t="str">
        <f>"02"</f>
        <v>02</v>
      </c>
      <c r="H1158" s="3">
        <v>552</v>
      </c>
    </row>
    <row r="1159" spans="1:8" ht="29.25" x14ac:dyDescent="0.25">
      <c r="A1159" s="2" t="str">
        <f>"00028400"</f>
        <v>00028400</v>
      </c>
      <c r="B1159" s="2" t="str">
        <f t="shared" si="51"/>
        <v>SG</v>
      </c>
      <c r="C1159" s="4" t="s">
        <v>759</v>
      </c>
      <c r="D1159" s="4" t="s">
        <v>0</v>
      </c>
      <c r="E1159" s="4" t="s">
        <v>12</v>
      </c>
      <c r="F1159" s="2" t="s">
        <v>0</v>
      </c>
      <c r="G1159" s="2" t="str">
        <f>"01"</f>
        <v>01</v>
      </c>
      <c r="H1159" s="3">
        <v>413</v>
      </c>
    </row>
    <row r="1160" spans="1:8" ht="29.25" x14ac:dyDescent="0.25">
      <c r="A1160" s="2" t="str">
        <f>"00028405"</f>
        <v>00028405</v>
      </c>
      <c r="B1160" s="2" t="str">
        <f t="shared" si="51"/>
        <v>SG</v>
      </c>
      <c r="C1160" s="4" t="s">
        <v>759</v>
      </c>
      <c r="D1160" s="4" t="s">
        <v>0</v>
      </c>
      <c r="E1160" s="4" t="s">
        <v>12</v>
      </c>
      <c r="F1160" s="2" t="s">
        <v>0</v>
      </c>
      <c r="G1160" s="2" t="str">
        <f>"01"</f>
        <v>01</v>
      </c>
      <c r="H1160" s="3">
        <v>413</v>
      </c>
    </row>
    <row r="1161" spans="1:8" ht="29.25" x14ac:dyDescent="0.25">
      <c r="A1161" s="2" t="str">
        <f>"00028406"</f>
        <v>00028406</v>
      </c>
      <c r="B1161" s="2" t="str">
        <f t="shared" si="51"/>
        <v>SG</v>
      </c>
      <c r="C1161" s="4" t="s">
        <v>759</v>
      </c>
      <c r="D1161" s="4" t="s">
        <v>0</v>
      </c>
      <c r="E1161" s="4" t="s">
        <v>12</v>
      </c>
      <c r="F1161" s="2" t="s">
        <v>0</v>
      </c>
      <c r="G1161" s="2" t="str">
        <f>"03"</f>
        <v>03</v>
      </c>
      <c r="H1161" s="3">
        <v>637</v>
      </c>
    </row>
    <row r="1162" spans="1:8" x14ac:dyDescent="0.25">
      <c r="A1162" s="2" t="str">
        <f>"00028415"</f>
        <v>00028415</v>
      </c>
      <c r="B1162" s="2" t="str">
        <f t="shared" si="51"/>
        <v>SG</v>
      </c>
      <c r="C1162" s="4" t="s">
        <v>760</v>
      </c>
      <c r="D1162" s="4" t="s">
        <v>0</v>
      </c>
      <c r="E1162" s="4" t="s">
        <v>12</v>
      </c>
      <c r="F1162" s="2" t="s">
        <v>0</v>
      </c>
      <c r="G1162" s="2" t="str">
        <f>"09"</f>
        <v>09</v>
      </c>
      <c r="H1162" s="3">
        <v>1662</v>
      </c>
    </row>
    <row r="1163" spans="1:8" ht="29.25" x14ac:dyDescent="0.25">
      <c r="A1163" s="2" t="str">
        <f>"00028420"</f>
        <v>00028420</v>
      </c>
      <c r="B1163" s="2" t="str">
        <f t="shared" si="51"/>
        <v>SG</v>
      </c>
      <c r="C1163" s="4" t="s">
        <v>761</v>
      </c>
      <c r="D1163" s="4" t="s">
        <v>0</v>
      </c>
      <c r="E1163" s="4" t="s">
        <v>12</v>
      </c>
      <c r="F1163" s="2" t="s">
        <v>0</v>
      </c>
      <c r="G1163" s="2" t="str">
        <f>"08"</f>
        <v>08</v>
      </c>
      <c r="H1163" s="3">
        <v>1183</v>
      </c>
    </row>
    <row r="1164" spans="1:8" ht="29.25" x14ac:dyDescent="0.25">
      <c r="A1164" s="2" t="str">
        <f>"00028435"</f>
        <v>00028435</v>
      </c>
      <c r="B1164" s="2" t="str">
        <f t="shared" si="51"/>
        <v>SG</v>
      </c>
      <c r="C1164" s="4" t="s">
        <v>683</v>
      </c>
      <c r="D1164" s="4" t="s">
        <v>0</v>
      </c>
      <c r="E1164" s="4" t="s">
        <v>12</v>
      </c>
      <c r="F1164" s="2" t="s">
        <v>0</v>
      </c>
      <c r="G1164" s="2" t="str">
        <f>"01"</f>
        <v>01</v>
      </c>
      <c r="H1164" s="3">
        <v>413</v>
      </c>
    </row>
    <row r="1165" spans="1:8" ht="29.25" x14ac:dyDescent="0.25">
      <c r="A1165" s="2" t="str">
        <f>"00028436"</f>
        <v>00028436</v>
      </c>
      <c r="B1165" s="2" t="str">
        <f t="shared" ref="B1165:B1228" si="54">"SG"</f>
        <v>SG</v>
      </c>
      <c r="C1165" s="4" t="s">
        <v>683</v>
      </c>
      <c r="D1165" s="4" t="s">
        <v>0</v>
      </c>
      <c r="E1165" s="4" t="s">
        <v>12</v>
      </c>
      <c r="F1165" s="2" t="s">
        <v>0</v>
      </c>
      <c r="G1165" s="2" t="str">
        <f>"03"</f>
        <v>03</v>
      </c>
      <c r="H1165" s="3">
        <v>637</v>
      </c>
    </row>
    <row r="1166" spans="1:8" x14ac:dyDescent="0.25">
      <c r="A1166" s="2" t="str">
        <f>"00028445"</f>
        <v>00028445</v>
      </c>
      <c r="B1166" s="2" t="str">
        <f t="shared" si="54"/>
        <v>SG</v>
      </c>
      <c r="C1166" s="4" t="s">
        <v>762</v>
      </c>
      <c r="D1166" s="4" t="s">
        <v>0</v>
      </c>
      <c r="E1166" s="4" t="s">
        <v>12</v>
      </c>
      <c r="F1166" s="2" t="s">
        <v>0</v>
      </c>
      <c r="G1166" s="2" t="str">
        <f>"08"</f>
        <v>08</v>
      </c>
      <c r="H1166" s="3">
        <v>1183</v>
      </c>
    </row>
    <row r="1167" spans="1:8" x14ac:dyDescent="0.25">
      <c r="A1167" s="2" t="str">
        <f>"00028456"</f>
        <v>00028456</v>
      </c>
      <c r="B1167" s="2" t="str">
        <f t="shared" si="54"/>
        <v>SG</v>
      </c>
      <c r="C1167" s="4" t="s">
        <v>763</v>
      </c>
      <c r="D1167" s="4" t="s">
        <v>0</v>
      </c>
      <c r="E1167" s="4" t="s">
        <v>12</v>
      </c>
      <c r="F1167" s="2" t="s">
        <v>0</v>
      </c>
      <c r="G1167" s="2" t="str">
        <f>"03"</f>
        <v>03</v>
      </c>
      <c r="H1167" s="3">
        <v>637</v>
      </c>
    </row>
    <row r="1168" spans="1:8" ht="29.25" x14ac:dyDescent="0.25">
      <c r="A1168" s="2" t="str">
        <f>"00028465"</f>
        <v>00028465</v>
      </c>
      <c r="B1168" s="2" t="str">
        <f t="shared" si="54"/>
        <v>SG</v>
      </c>
      <c r="C1168" s="4" t="s">
        <v>764</v>
      </c>
      <c r="D1168" s="4" t="s">
        <v>0</v>
      </c>
      <c r="E1168" s="4" t="s">
        <v>12</v>
      </c>
      <c r="F1168" s="2" t="s">
        <v>0</v>
      </c>
      <c r="G1168" s="2" t="str">
        <f>"08"</f>
        <v>08</v>
      </c>
      <c r="H1168" s="3">
        <v>1183</v>
      </c>
    </row>
    <row r="1169" spans="1:8" ht="29.25" x14ac:dyDescent="0.25">
      <c r="A1169" s="2" t="str">
        <f>"00028476"</f>
        <v>00028476</v>
      </c>
      <c r="B1169" s="2" t="str">
        <f t="shared" si="54"/>
        <v>SG</v>
      </c>
      <c r="C1169" s="4" t="s">
        <v>765</v>
      </c>
      <c r="D1169" s="4" t="s">
        <v>0</v>
      </c>
      <c r="E1169" s="4" t="s">
        <v>12</v>
      </c>
      <c r="F1169" s="2" t="s">
        <v>0</v>
      </c>
      <c r="G1169" s="2" t="str">
        <f>"03"</f>
        <v>03</v>
      </c>
      <c r="H1169" s="3">
        <v>637</v>
      </c>
    </row>
    <row r="1170" spans="1:8" ht="29.25" x14ac:dyDescent="0.25">
      <c r="A1170" s="2" t="str">
        <f>"00028485"</f>
        <v>00028485</v>
      </c>
      <c r="B1170" s="2" t="str">
        <f t="shared" si="54"/>
        <v>SG</v>
      </c>
      <c r="C1170" s="4" t="s">
        <v>765</v>
      </c>
      <c r="D1170" s="4" t="s">
        <v>0</v>
      </c>
      <c r="E1170" s="4" t="s">
        <v>12</v>
      </c>
      <c r="F1170" s="2" t="s">
        <v>0</v>
      </c>
      <c r="G1170" s="2" t="str">
        <f>"08"</f>
        <v>08</v>
      </c>
      <c r="H1170" s="3">
        <v>1183</v>
      </c>
    </row>
    <row r="1171" spans="1:8" x14ac:dyDescent="0.25">
      <c r="A1171" s="2" t="str">
        <f>"00028496"</f>
        <v>00028496</v>
      </c>
      <c r="B1171" s="2" t="str">
        <f t="shared" si="54"/>
        <v>SG</v>
      </c>
      <c r="C1171" s="4" t="s">
        <v>766</v>
      </c>
      <c r="D1171" s="4" t="s">
        <v>0</v>
      </c>
      <c r="E1171" s="4" t="s">
        <v>12</v>
      </c>
      <c r="F1171" s="2" t="s">
        <v>0</v>
      </c>
      <c r="G1171" s="2" t="str">
        <f t="shared" ref="G1171:G1176" si="55">"03"</f>
        <v>03</v>
      </c>
      <c r="H1171" s="3">
        <v>637</v>
      </c>
    </row>
    <row r="1172" spans="1:8" x14ac:dyDescent="0.25">
      <c r="A1172" s="2" t="str">
        <f>"00028505"</f>
        <v>00028505</v>
      </c>
      <c r="B1172" s="2" t="str">
        <f t="shared" si="54"/>
        <v>SG</v>
      </c>
      <c r="C1172" s="4" t="s">
        <v>766</v>
      </c>
      <c r="D1172" s="4" t="s">
        <v>0</v>
      </c>
      <c r="E1172" s="4" t="s">
        <v>12</v>
      </c>
      <c r="F1172" s="2" t="s">
        <v>0</v>
      </c>
      <c r="G1172" s="2" t="str">
        <f t="shared" si="55"/>
        <v>03</v>
      </c>
      <c r="H1172" s="3">
        <v>637</v>
      </c>
    </row>
    <row r="1173" spans="1:8" x14ac:dyDescent="0.25">
      <c r="A1173" s="2" t="str">
        <f>"00028525"</f>
        <v>00028525</v>
      </c>
      <c r="B1173" s="2" t="str">
        <f t="shared" si="54"/>
        <v>SG</v>
      </c>
      <c r="C1173" s="4" t="s">
        <v>767</v>
      </c>
      <c r="D1173" s="4" t="s">
        <v>0</v>
      </c>
      <c r="E1173" s="4" t="s">
        <v>12</v>
      </c>
      <c r="F1173" s="2" t="s">
        <v>0</v>
      </c>
      <c r="G1173" s="2" t="str">
        <f t="shared" si="55"/>
        <v>03</v>
      </c>
      <c r="H1173" s="3">
        <v>637</v>
      </c>
    </row>
    <row r="1174" spans="1:8" ht="29.25" x14ac:dyDescent="0.25">
      <c r="A1174" s="2" t="str">
        <f>"00028531"</f>
        <v>00028531</v>
      </c>
      <c r="B1174" s="2" t="str">
        <f t="shared" si="54"/>
        <v>SG</v>
      </c>
      <c r="C1174" s="4" t="s">
        <v>768</v>
      </c>
      <c r="D1174" s="4" t="s">
        <v>0</v>
      </c>
      <c r="E1174" s="4" t="s">
        <v>12</v>
      </c>
      <c r="F1174" s="2" t="s">
        <v>0</v>
      </c>
      <c r="G1174" s="2" t="str">
        <f t="shared" si="55"/>
        <v>03</v>
      </c>
      <c r="H1174" s="3">
        <v>637</v>
      </c>
    </row>
    <row r="1175" spans="1:8" x14ac:dyDescent="0.25">
      <c r="A1175" s="2" t="str">
        <f>"00028545"</f>
        <v>00028545</v>
      </c>
      <c r="B1175" s="2" t="str">
        <f t="shared" si="54"/>
        <v>SG</v>
      </c>
      <c r="C1175" s="4" t="s">
        <v>769</v>
      </c>
      <c r="D1175" s="4" t="s">
        <v>0</v>
      </c>
      <c r="E1175" s="4" t="s">
        <v>12</v>
      </c>
      <c r="F1175" s="2" t="s">
        <v>0</v>
      </c>
      <c r="G1175" s="2" t="str">
        <f t="shared" si="55"/>
        <v>03</v>
      </c>
      <c r="H1175" s="3">
        <v>637</v>
      </c>
    </row>
    <row r="1176" spans="1:8" x14ac:dyDescent="0.25">
      <c r="A1176" s="2" t="str">
        <f>"00028546"</f>
        <v>00028546</v>
      </c>
      <c r="B1176" s="2" t="str">
        <f t="shared" si="54"/>
        <v>SG</v>
      </c>
      <c r="C1176" s="4" t="s">
        <v>769</v>
      </c>
      <c r="D1176" s="4" t="s">
        <v>0</v>
      </c>
      <c r="E1176" s="4" t="s">
        <v>12</v>
      </c>
      <c r="F1176" s="2" t="s">
        <v>0</v>
      </c>
      <c r="G1176" s="2" t="str">
        <f t="shared" si="55"/>
        <v>03</v>
      </c>
      <c r="H1176" s="3">
        <v>637</v>
      </c>
    </row>
    <row r="1177" spans="1:8" x14ac:dyDescent="0.25">
      <c r="A1177" s="2" t="str">
        <f>"00028555"</f>
        <v>00028555</v>
      </c>
      <c r="B1177" s="2" t="str">
        <f t="shared" si="54"/>
        <v>SG</v>
      </c>
      <c r="C1177" s="4" t="s">
        <v>770</v>
      </c>
      <c r="D1177" s="4" t="s">
        <v>0</v>
      </c>
      <c r="E1177" s="4" t="s">
        <v>12</v>
      </c>
      <c r="F1177" s="2" t="s">
        <v>0</v>
      </c>
      <c r="G1177" s="2" t="str">
        <f>"08"</f>
        <v>08</v>
      </c>
      <c r="H1177" s="3">
        <v>1183</v>
      </c>
    </row>
    <row r="1178" spans="1:8" x14ac:dyDescent="0.25">
      <c r="A1178" s="2" t="str">
        <f>"00028575"</f>
        <v>00028575</v>
      </c>
      <c r="B1178" s="2" t="str">
        <f t="shared" si="54"/>
        <v>SG</v>
      </c>
      <c r="C1178" s="4" t="s">
        <v>769</v>
      </c>
      <c r="D1178" s="4" t="s">
        <v>0</v>
      </c>
      <c r="E1178" s="4" t="s">
        <v>12</v>
      </c>
      <c r="F1178" s="2" t="s">
        <v>0</v>
      </c>
      <c r="G1178" s="2" t="str">
        <f>"01"</f>
        <v>01</v>
      </c>
      <c r="H1178" s="3">
        <v>413</v>
      </c>
    </row>
    <row r="1179" spans="1:8" x14ac:dyDescent="0.25">
      <c r="A1179" s="2" t="str">
        <f>"00028576"</f>
        <v>00028576</v>
      </c>
      <c r="B1179" s="2" t="str">
        <f t="shared" si="54"/>
        <v>SG</v>
      </c>
      <c r="C1179" s="4" t="s">
        <v>769</v>
      </c>
      <c r="D1179" s="4" t="s">
        <v>0</v>
      </c>
      <c r="E1179" s="4" t="s">
        <v>12</v>
      </c>
      <c r="F1179" s="2" t="s">
        <v>0</v>
      </c>
      <c r="G1179" s="2" t="str">
        <f>"03"</f>
        <v>03</v>
      </c>
      <c r="H1179" s="3">
        <v>637</v>
      </c>
    </row>
    <row r="1180" spans="1:8" x14ac:dyDescent="0.25">
      <c r="A1180" s="2" t="str">
        <f>"00028585"</f>
        <v>00028585</v>
      </c>
      <c r="B1180" s="2" t="str">
        <f t="shared" si="54"/>
        <v>SG</v>
      </c>
      <c r="C1180" s="4" t="s">
        <v>770</v>
      </c>
      <c r="D1180" s="4" t="s">
        <v>0</v>
      </c>
      <c r="E1180" s="4" t="s">
        <v>12</v>
      </c>
      <c r="F1180" s="2" t="s">
        <v>0</v>
      </c>
      <c r="G1180" s="2" t="str">
        <f>"03"</f>
        <v>03</v>
      </c>
      <c r="H1180" s="3">
        <v>637</v>
      </c>
    </row>
    <row r="1181" spans="1:8" x14ac:dyDescent="0.25">
      <c r="A1181" s="2" t="str">
        <f>"00028605"</f>
        <v>00028605</v>
      </c>
      <c r="B1181" s="2" t="str">
        <f t="shared" si="54"/>
        <v>SG</v>
      </c>
      <c r="C1181" s="4" t="s">
        <v>769</v>
      </c>
      <c r="D1181" s="4" t="s">
        <v>0</v>
      </c>
      <c r="E1181" s="4" t="s">
        <v>12</v>
      </c>
      <c r="F1181" s="2" t="s">
        <v>0</v>
      </c>
      <c r="G1181" s="2" t="str">
        <f>"01"</f>
        <v>01</v>
      </c>
      <c r="H1181" s="3">
        <v>413</v>
      </c>
    </row>
    <row r="1182" spans="1:8" x14ac:dyDescent="0.25">
      <c r="A1182" s="2" t="str">
        <f>"00028606"</f>
        <v>00028606</v>
      </c>
      <c r="B1182" s="2" t="str">
        <f t="shared" si="54"/>
        <v>SG</v>
      </c>
      <c r="C1182" s="4" t="s">
        <v>769</v>
      </c>
      <c r="D1182" s="4" t="s">
        <v>0</v>
      </c>
      <c r="E1182" s="4" t="s">
        <v>12</v>
      </c>
      <c r="F1182" s="2" t="s">
        <v>0</v>
      </c>
      <c r="G1182" s="2" t="str">
        <f>"03"</f>
        <v>03</v>
      </c>
      <c r="H1182" s="3">
        <v>637</v>
      </c>
    </row>
    <row r="1183" spans="1:8" x14ac:dyDescent="0.25">
      <c r="A1183" s="2" t="str">
        <f>"00028615"</f>
        <v>00028615</v>
      </c>
      <c r="B1183" s="2" t="str">
        <f t="shared" si="54"/>
        <v>SG</v>
      </c>
      <c r="C1183" s="4" t="s">
        <v>770</v>
      </c>
      <c r="D1183" s="4" t="s">
        <v>0</v>
      </c>
      <c r="E1183" s="4" t="s">
        <v>12</v>
      </c>
      <c r="F1183" s="2" t="s">
        <v>0</v>
      </c>
      <c r="G1183" s="2" t="str">
        <f>"08"</f>
        <v>08</v>
      </c>
      <c r="H1183" s="3">
        <v>1183</v>
      </c>
    </row>
    <row r="1184" spans="1:8" x14ac:dyDescent="0.25">
      <c r="A1184" s="2" t="str">
        <f>"00028635"</f>
        <v>00028635</v>
      </c>
      <c r="B1184" s="2" t="str">
        <f t="shared" si="54"/>
        <v>SG</v>
      </c>
      <c r="C1184" s="4" t="s">
        <v>771</v>
      </c>
      <c r="D1184" s="4" t="s">
        <v>0</v>
      </c>
      <c r="E1184" s="4" t="s">
        <v>12</v>
      </c>
      <c r="F1184" s="2" t="s">
        <v>0</v>
      </c>
      <c r="G1184" s="2" t="str">
        <f>"01"</f>
        <v>01</v>
      </c>
      <c r="H1184" s="3">
        <v>413</v>
      </c>
    </row>
    <row r="1185" spans="1:8" x14ac:dyDescent="0.25">
      <c r="A1185" s="2" t="str">
        <f>"00028636"</f>
        <v>00028636</v>
      </c>
      <c r="B1185" s="2" t="str">
        <f t="shared" si="54"/>
        <v>SG</v>
      </c>
      <c r="C1185" s="4" t="s">
        <v>771</v>
      </c>
      <c r="D1185" s="4" t="s">
        <v>0</v>
      </c>
      <c r="E1185" s="4" t="s">
        <v>12</v>
      </c>
      <c r="F1185" s="2" t="s">
        <v>0</v>
      </c>
      <c r="G1185" s="2" t="str">
        <f>"03"</f>
        <v>03</v>
      </c>
      <c r="H1185" s="3">
        <v>637</v>
      </c>
    </row>
    <row r="1186" spans="1:8" x14ac:dyDescent="0.25">
      <c r="A1186" s="2" t="str">
        <f>"00028645"</f>
        <v>00028645</v>
      </c>
      <c r="B1186" s="2" t="str">
        <f t="shared" si="54"/>
        <v>SG</v>
      </c>
      <c r="C1186" s="4" t="s">
        <v>772</v>
      </c>
      <c r="D1186" s="4" t="s">
        <v>0</v>
      </c>
      <c r="E1186" s="4" t="s">
        <v>12</v>
      </c>
      <c r="F1186" s="2" t="s">
        <v>0</v>
      </c>
      <c r="G1186" s="2" t="str">
        <f>"03"</f>
        <v>03</v>
      </c>
      <c r="H1186" s="3">
        <v>637</v>
      </c>
    </row>
    <row r="1187" spans="1:8" x14ac:dyDescent="0.25">
      <c r="A1187" s="2" t="str">
        <f>"00028665"</f>
        <v>00028665</v>
      </c>
      <c r="B1187" s="2" t="str">
        <f t="shared" si="54"/>
        <v>SG</v>
      </c>
      <c r="C1187" s="4" t="s">
        <v>771</v>
      </c>
      <c r="D1187" s="4" t="s">
        <v>0</v>
      </c>
      <c r="E1187" s="4" t="s">
        <v>12</v>
      </c>
      <c r="F1187" s="2" t="s">
        <v>0</v>
      </c>
      <c r="G1187" s="2" t="str">
        <f>"01"</f>
        <v>01</v>
      </c>
      <c r="H1187" s="3">
        <v>413</v>
      </c>
    </row>
    <row r="1188" spans="1:8" x14ac:dyDescent="0.25">
      <c r="A1188" s="2" t="str">
        <f>"00028666"</f>
        <v>00028666</v>
      </c>
      <c r="B1188" s="2" t="str">
        <f t="shared" si="54"/>
        <v>SG</v>
      </c>
      <c r="C1188" s="4" t="s">
        <v>771</v>
      </c>
      <c r="D1188" s="4" t="s">
        <v>0</v>
      </c>
      <c r="E1188" s="4" t="s">
        <v>12</v>
      </c>
      <c r="F1188" s="2" t="s">
        <v>0</v>
      </c>
      <c r="G1188" s="2" t="str">
        <f>"03"</f>
        <v>03</v>
      </c>
      <c r="H1188" s="3">
        <v>637</v>
      </c>
    </row>
    <row r="1189" spans="1:8" ht="29.25" x14ac:dyDescent="0.25">
      <c r="A1189" s="2" t="str">
        <f>"00028675"</f>
        <v>00028675</v>
      </c>
      <c r="B1189" s="2" t="str">
        <f t="shared" si="54"/>
        <v>SG</v>
      </c>
      <c r="C1189" s="4" t="s">
        <v>773</v>
      </c>
      <c r="D1189" s="4" t="s">
        <v>0</v>
      </c>
      <c r="E1189" s="4" t="s">
        <v>12</v>
      </c>
      <c r="F1189" s="2" t="s">
        <v>0</v>
      </c>
      <c r="G1189" s="2" t="str">
        <f>"03"</f>
        <v>03</v>
      </c>
      <c r="H1189" s="3">
        <v>637</v>
      </c>
    </row>
    <row r="1190" spans="1:8" x14ac:dyDescent="0.25">
      <c r="A1190" s="2" t="str">
        <f>"00028705"</f>
        <v>00028705</v>
      </c>
      <c r="B1190" s="2" t="str">
        <f t="shared" si="54"/>
        <v>SG</v>
      </c>
      <c r="C1190" s="4" t="s">
        <v>774</v>
      </c>
      <c r="D1190" s="4" t="s">
        <v>0</v>
      </c>
      <c r="E1190" s="4" t="s">
        <v>12</v>
      </c>
      <c r="F1190" s="2" t="s">
        <v>0</v>
      </c>
      <c r="G1190" s="2" t="str">
        <f t="shared" ref="G1190:G1197" si="56">"09"</f>
        <v>09</v>
      </c>
      <c r="H1190" s="3">
        <v>1662</v>
      </c>
    </row>
    <row r="1191" spans="1:8" x14ac:dyDescent="0.25">
      <c r="A1191" s="2" t="str">
        <f>"00028715"</f>
        <v>00028715</v>
      </c>
      <c r="B1191" s="2" t="str">
        <f t="shared" si="54"/>
        <v>SG</v>
      </c>
      <c r="C1191" s="4" t="s">
        <v>774</v>
      </c>
      <c r="D1191" s="4" t="s">
        <v>0</v>
      </c>
      <c r="E1191" s="4" t="s">
        <v>12</v>
      </c>
      <c r="F1191" s="2" t="s">
        <v>0</v>
      </c>
      <c r="G1191" s="2" t="str">
        <f t="shared" si="56"/>
        <v>09</v>
      </c>
      <c r="H1191" s="3">
        <v>1662</v>
      </c>
    </row>
    <row r="1192" spans="1:8" x14ac:dyDescent="0.25">
      <c r="A1192" s="2" t="str">
        <f>"00028725"</f>
        <v>00028725</v>
      </c>
      <c r="B1192" s="2" t="str">
        <f t="shared" si="54"/>
        <v>SG</v>
      </c>
      <c r="C1192" s="4" t="s">
        <v>774</v>
      </c>
      <c r="D1192" s="4" t="s">
        <v>0</v>
      </c>
      <c r="E1192" s="4" t="s">
        <v>12</v>
      </c>
      <c r="F1192" s="2" t="s">
        <v>0</v>
      </c>
      <c r="G1192" s="2" t="str">
        <f t="shared" si="56"/>
        <v>09</v>
      </c>
      <c r="H1192" s="3">
        <v>1662</v>
      </c>
    </row>
    <row r="1193" spans="1:8" x14ac:dyDescent="0.25">
      <c r="A1193" s="2" t="str">
        <f>"00028730"</f>
        <v>00028730</v>
      </c>
      <c r="B1193" s="2" t="str">
        <f t="shared" si="54"/>
        <v>SG</v>
      </c>
      <c r="C1193" s="4" t="s">
        <v>774</v>
      </c>
      <c r="D1193" s="4" t="s">
        <v>0</v>
      </c>
      <c r="E1193" s="4" t="s">
        <v>12</v>
      </c>
      <c r="F1193" s="2" t="s">
        <v>0</v>
      </c>
      <c r="G1193" s="2" t="str">
        <f t="shared" si="56"/>
        <v>09</v>
      </c>
      <c r="H1193" s="3">
        <v>1662</v>
      </c>
    </row>
    <row r="1194" spans="1:8" x14ac:dyDescent="0.25">
      <c r="A1194" s="2" t="str">
        <f>"00028735"</f>
        <v>00028735</v>
      </c>
      <c r="B1194" s="2" t="str">
        <f t="shared" si="54"/>
        <v>SG</v>
      </c>
      <c r="C1194" s="4" t="s">
        <v>774</v>
      </c>
      <c r="D1194" s="4" t="s">
        <v>0</v>
      </c>
      <c r="E1194" s="4" t="s">
        <v>12</v>
      </c>
      <c r="F1194" s="2" t="s">
        <v>0</v>
      </c>
      <c r="G1194" s="2" t="str">
        <f t="shared" si="56"/>
        <v>09</v>
      </c>
      <c r="H1194" s="3">
        <v>1662</v>
      </c>
    </row>
    <row r="1195" spans="1:8" x14ac:dyDescent="0.25">
      <c r="A1195" s="2" t="str">
        <f>"00028737"</f>
        <v>00028737</v>
      </c>
      <c r="B1195" s="2" t="str">
        <f t="shared" si="54"/>
        <v>SG</v>
      </c>
      <c r="C1195" s="4" t="s">
        <v>775</v>
      </c>
      <c r="D1195" s="4" t="s">
        <v>0</v>
      </c>
      <c r="E1195" s="4" t="s">
        <v>12</v>
      </c>
      <c r="F1195" s="2" t="s">
        <v>0</v>
      </c>
      <c r="G1195" s="2" t="str">
        <f t="shared" si="56"/>
        <v>09</v>
      </c>
      <c r="H1195" s="3">
        <v>1662</v>
      </c>
    </row>
    <row r="1196" spans="1:8" x14ac:dyDescent="0.25">
      <c r="A1196" s="2" t="str">
        <f>"00028740"</f>
        <v>00028740</v>
      </c>
      <c r="B1196" s="2" t="str">
        <f t="shared" si="54"/>
        <v>SG</v>
      </c>
      <c r="C1196" s="4" t="s">
        <v>774</v>
      </c>
      <c r="D1196" s="4" t="s">
        <v>0</v>
      </c>
      <c r="E1196" s="4" t="s">
        <v>12</v>
      </c>
      <c r="F1196" s="2" t="s">
        <v>0</v>
      </c>
      <c r="G1196" s="2" t="str">
        <f t="shared" si="56"/>
        <v>09</v>
      </c>
      <c r="H1196" s="3">
        <v>1662</v>
      </c>
    </row>
    <row r="1197" spans="1:8" x14ac:dyDescent="0.25">
      <c r="A1197" s="2" t="str">
        <f>"00028750"</f>
        <v>00028750</v>
      </c>
      <c r="B1197" s="2" t="str">
        <f t="shared" si="54"/>
        <v>SG</v>
      </c>
      <c r="C1197" s="4" t="s">
        <v>776</v>
      </c>
      <c r="D1197" s="4" t="s">
        <v>0</v>
      </c>
      <c r="E1197" s="4" t="s">
        <v>12</v>
      </c>
      <c r="F1197" s="2" t="s">
        <v>0</v>
      </c>
      <c r="G1197" s="2" t="str">
        <f t="shared" si="56"/>
        <v>09</v>
      </c>
      <c r="H1197" s="3">
        <v>1662</v>
      </c>
    </row>
    <row r="1198" spans="1:8" x14ac:dyDescent="0.25">
      <c r="A1198" s="2" t="str">
        <f>"00028755"</f>
        <v>00028755</v>
      </c>
      <c r="B1198" s="2" t="str">
        <f t="shared" si="54"/>
        <v>SG</v>
      </c>
      <c r="C1198" s="4" t="s">
        <v>776</v>
      </c>
      <c r="D1198" s="4" t="s">
        <v>0</v>
      </c>
      <c r="E1198" s="4" t="s">
        <v>12</v>
      </c>
      <c r="F1198" s="2" t="s">
        <v>0</v>
      </c>
      <c r="G1198" s="2" t="str">
        <f>"02"</f>
        <v>02</v>
      </c>
      <c r="H1198" s="3">
        <v>552</v>
      </c>
    </row>
    <row r="1199" spans="1:8" x14ac:dyDescent="0.25">
      <c r="A1199" s="2" t="str">
        <f>"00028760"</f>
        <v>00028760</v>
      </c>
      <c r="B1199" s="2" t="str">
        <f t="shared" si="54"/>
        <v>SG</v>
      </c>
      <c r="C1199" s="4" t="s">
        <v>776</v>
      </c>
      <c r="D1199" s="4" t="s">
        <v>0</v>
      </c>
      <c r="E1199" s="4" t="s">
        <v>12</v>
      </c>
      <c r="F1199" s="2" t="s">
        <v>0</v>
      </c>
      <c r="G1199" s="2" t="str">
        <f>"09"</f>
        <v>09</v>
      </c>
      <c r="H1199" s="3">
        <v>1662</v>
      </c>
    </row>
    <row r="1200" spans="1:8" ht="29.25" x14ac:dyDescent="0.25">
      <c r="A1200" s="2" t="str">
        <f>"00028810"</f>
        <v>00028810</v>
      </c>
      <c r="B1200" s="2" t="str">
        <f t="shared" si="54"/>
        <v>SG</v>
      </c>
      <c r="C1200" s="4" t="s">
        <v>777</v>
      </c>
      <c r="D1200" s="4" t="s">
        <v>0</v>
      </c>
      <c r="E1200" s="4" t="s">
        <v>12</v>
      </c>
      <c r="F1200" s="2" t="s">
        <v>0</v>
      </c>
      <c r="G1200" s="2" t="str">
        <f>"02"</f>
        <v>02</v>
      </c>
      <c r="H1200" s="3">
        <v>552</v>
      </c>
    </row>
    <row r="1201" spans="1:8" x14ac:dyDescent="0.25">
      <c r="A1201" s="2" t="str">
        <f>"00028820"</f>
        <v>00028820</v>
      </c>
      <c r="B1201" s="2" t="str">
        <f t="shared" si="54"/>
        <v>SG</v>
      </c>
      <c r="C1201" s="4" t="s">
        <v>778</v>
      </c>
      <c r="D1201" s="4" t="s">
        <v>0</v>
      </c>
      <c r="E1201" s="4" t="s">
        <v>12</v>
      </c>
      <c r="F1201" s="2" t="s">
        <v>0</v>
      </c>
      <c r="G1201" s="2" t="str">
        <f>"02"</f>
        <v>02</v>
      </c>
      <c r="H1201" s="3">
        <v>552</v>
      </c>
    </row>
    <row r="1202" spans="1:8" ht="29.25" x14ac:dyDescent="0.25">
      <c r="A1202" s="2" t="str">
        <f>"00028825"</f>
        <v>00028825</v>
      </c>
      <c r="B1202" s="2" t="str">
        <f t="shared" si="54"/>
        <v>SG</v>
      </c>
      <c r="C1202" s="4" t="s">
        <v>779</v>
      </c>
      <c r="D1202" s="4" t="s">
        <v>0</v>
      </c>
      <c r="E1202" s="4" t="s">
        <v>12</v>
      </c>
      <c r="F1202" s="2" t="s">
        <v>0</v>
      </c>
      <c r="G1202" s="2" t="str">
        <f>"02"</f>
        <v>02</v>
      </c>
      <c r="H1202" s="3">
        <v>552</v>
      </c>
    </row>
    <row r="1203" spans="1:8" ht="29.25" x14ac:dyDescent="0.25">
      <c r="A1203" s="2" t="str">
        <f>"00029800"</f>
        <v>00029800</v>
      </c>
      <c r="B1203" s="2" t="str">
        <f t="shared" si="54"/>
        <v>SG</v>
      </c>
      <c r="C1203" s="4" t="s">
        <v>780</v>
      </c>
      <c r="D1203" s="4" t="s">
        <v>0</v>
      </c>
      <c r="E1203" s="4" t="s">
        <v>12</v>
      </c>
      <c r="F1203" s="2" t="s">
        <v>0</v>
      </c>
      <c r="G1203" s="2" t="str">
        <f>"03"</f>
        <v>03</v>
      </c>
      <c r="H1203" s="3">
        <v>637</v>
      </c>
    </row>
    <row r="1204" spans="1:8" ht="29.25" x14ac:dyDescent="0.25">
      <c r="A1204" s="2" t="str">
        <f>"00029804"</f>
        <v>00029804</v>
      </c>
      <c r="B1204" s="2" t="str">
        <f t="shared" si="54"/>
        <v>SG</v>
      </c>
      <c r="C1204" s="4" t="s">
        <v>780</v>
      </c>
      <c r="D1204" s="4" t="s">
        <v>0</v>
      </c>
      <c r="E1204" s="4" t="s">
        <v>12</v>
      </c>
      <c r="F1204" s="2" t="s">
        <v>0</v>
      </c>
      <c r="G1204" s="2" t="str">
        <f>"03"</f>
        <v>03</v>
      </c>
      <c r="H1204" s="3">
        <v>637</v>
      </c>
    </row>
    <row r="1205" spans="1:8" ht="29.25" x14ac:dyDescent="0.25">
      <c r="A1205" s="2" t="str">
        <f>"00029805"</f>
        <v>00029805</v>
      </c>
      <c r="B1205" s="2" t="str">
        <f t="shared" si="54"/>
        <v>SG</v>
      </c>
      <c r="C1205" s="4" t="s">
        <v>781</v>
      </c>
      <c r="D1205" s="4" t="s">
        <v>0</v>
      </c>
      <c r="E1205" s="4" t="s">
        <v>12</v>
      </c>
      <c r="F1205" s="2" t="s">
        <v>0</v>
      </c>
      <c r="G1205" s="2" t="str">
        <f>"03"</f>
        <v>03</v>
      </c>
      <c r="H1205" s="3">
        <v>637</v>
      </c>
    </row>
    <row r="1206" spans="1:8" ht="29.25" x14ac:dyDescent="0.25">
      <c r="A1206" s="2" t="str">
        <f>"00029806"</f>
        <v>00029806</v>
      </c>
      <c r="B1206" s="2" t="str">
        <f t="shared" si="54"/>
        <v>SG</v>
      </c>
      <c r="C1206" s="4" t="s">
        <v>782</v>
      </c>
      <c r="D1206" s="4" t="s">
        <v>0</v>
      </c>
      <c r="E1206" s="4" t="s">
        <v>12</v>
      </c>
      <c r="F1206" s="2" t="s">
        <v>0</v>
      </c>
      <c r="G1206" s="2" t="str">
        <f>"08"</f>
        <v>08</v>
      </c>
      <c r="H1206" s="3">
        <v>1183</v>
      </c>
    </row>
    <row r="1207" spans="1:8" ht="29.25" x14ac:dyDescent="0.25">
      <c r="A1207" s="2" t="str">
        <f>"00029807"</f>
        <v>00029807</v>
      </c>
      <c r="B1207" s="2" t="str">
        <f t="shared" si="54"/>
        <v>SG</v>
      </c>
      <c r="C1207" s="4" t="s">
        <v>782</v>
      </c>
      <c r="D1207" s="4" t="s">
        <v>0</v>
      </c>
      <c r="E1207" s="4" t="s">
        <v>12</v>
      </c>
      <c r="F1207" s="2" t="s">
        <v>0</v>
      </c>
      <c r="G1207" s="2" t="str">
        <f>"08"</f>
        <v>08</v>
      </c>
      <c r="H1207" s="3">
        <v>1183</v>
      </c>
    </row>
    <row r="1208" spans="1:8" ht="29.25" x14ac:dyDescent="0.25">
      <c r="A1208" s="2" t="str">
        <f>"00029819"</f>
        <v>00029819</v>
      </c>
      <c r="B1208" s="2" t="str">
        <f t="shared" si="54"/>
        <v>SG</v>
      </c>
      <c r="C1208" s="4" t="s">
        <v>782</v>
      </c>
      <c r="D1208" s="4" t="s">
        <v>0</v>
      </c>
      <c r="E1208" s="4" t="s">
        <v>12</v>
      </c>
      <c r="F1208" s="2" t="s">
        <v>0</v>
      </c>
      <c r="G1208" s="2" t="str">
        <f>"08"</f>
        <v>08</v>
      </c>
      <c r="H1208" s="3">
        <v>1183</v>
      </c>
    </row>
    <row r="1209" spans="1:8" ht="29.25" x14ac:dyDescent="0.25">
      <c r="A1209" s="2" t="str">
        <f>"00029820"</f>
        <v>00029820</v>
      </c>
      <c r="B1209" s="2" t="str">
        <f t="shared" si="54"/>
        <v>SG</v>
      </c>
      <c r="C1209" s="4" t="s">
        <v>782</v>
      </c>
      <c r="D1209" s="4" t="s">
        <v>0</v>
      </c>
      <c r="E1209" s="4" t="s">
        <v>12</v>
      </c>
      <c r="F1209" s="2" t="s">
        <v>0</v>
      </c>
      <c r="G1209" s="2" t="str">
        <f>"08"</f>
        <v>08</v>
      </c>
      <c r="H1209" s="3">
        <v>1183</v>
      </c>
    </row>
    <row r="1210" spans="1:8" ht="29.25" x14ac:dyDescent="0.25">
      <c r="A1210" s="2" t="str">
        <f>"00029821"</f>
        <v>00029821</v>
      </c>
      <c r="B1210" s="2" t="str">
        <f t="shared" si="54"/>
        <v>SG</v>
      </c>
      <c r="C1210" s="4" t="s">
        <v>782</v>
      </c>
      <c r="D1210" s="4" t="s">
        <v>0</v>
      </c>
      <c r="E1210" s="4" t="s">
        <v>12</v>
      </c>
      <c r="F1210" s="2" t="s">
        <v>0</v>
      </c>
      <c r="G1210" s="2" t="str">
        <f>"08"</f>
        <v>08</v>
      </c>
      <c r="H1210" s="3">
        <v>1183</v>
      </c>
    </row>
    <row r="1211" spans="1:8" ht="29.25" x14ac:dyDescent="0.25">
      <c r="A1211" s="2" t="str">
        <f>"00029822"</f>
        <v>00029822</v>
      </c>
      <c r="B1211" s="2" t="str">
        <f t="shared" si="54"/>
        <v>SG</v>
      </c>
      <c r="C1211" s="4" t="s">
        <v>782</v>
      </c>
      <c r="D1211" s="4" t="s">
        <v>0</v>
      </c>
      <c r="E1211" s="4" t="s">
        <v>12</v>
      </c>
      <c r="F1211" s="2" t="s">
        <v>0</v>
      </c>
      <c r="G1211" s="2" t="str">
        <f>"03"</f>
        <v>03</v>
      </c>
      <c r="H1211" s="3">
        <v>637</v>
      </c>
    </row>
    <row r="1212" spans="1:8" ht="29.25" x14ac:dyDescent="0.25">
      <c r="A1212" s="2" t="str">
        <f>"00029823"</f>
        <v>00029823</v>
      </c>
      <c r="B1212" s="2" t="str">
        <f t="shared" si="54"/>
        <v>SG</v>
      </c>
      <c r="C1212" s="4" t="s">
        <v>782</v>
      </c>
      <c r="D1212" s="4" t="s">
        <v>0</v>
      </c>
      <c r="E1212" s="4" t="s">
        <v>12</v>
      </c>
      <c r="F1212" s="2" t="s">
        <v>0</v>
      </c>
      <c r="G1212" s="2" t="str">
        <f>"08"</f>
        <v>08</v>
      </c>
      <c r="H1212" s="3">
        <v>1183</v>
      </c>
    </row>
    <row r="1213" spans="1:8" ht="29.25" x14ac:dyDescent="0.25">
      <c r="A1213" s="2" t="str">
        <f>"00029824"</f>
        <v>00029824</v>
      </c>
      <c r="B1213" s="2" t="str">
        <f t="shared" si="54"/>
        <v>SG</v>
      </c>
      <c r="C1213" s="4" t="s">
        <v>782</v>
      </c>
      <c r="D1213" s="4" t="s">
        <v>0</v>
      </c>
      <c r="E1213" s="4" t="s">
        <v>12</v>
      </c>
      <c r="F1213" s="2" t="s">
        <v>0</v>
      </c>
      <c r="G1213" s="2" t="str">
        <f>"08"</f>
        <v>08</v>
      </c>
      <c r="H1213" s="3">
        <v>1183</v>
      </c>
    </row>
    <row r="1214" spans="1:8" ht="29.25" x14ac:dyDescent="0.25">
      <c r="A1214" s="2" t="str">
        <f>"00029825"</f>
        <v>00029825</v>
      </c>
      <c r="B1214" s="2" t="str">
        <f t="shared" si="54"/>
        <v>SG</v>
      </c>
      <c r="C1214" s="4" t="s">
        <v>782</v>
      </c>
      <c r="D1214" s="4" t="s">
        <v>0</v>
      </c>
      <c r="E1214" s="4" t="s">
        <v>12</v>
      </c>
      <c r="F1214" s="2" t="s">
        <v>0</v>
      </c>
      <c r="G1214" s="2" t="str">
        <f>"08"</f>
        <v>08</v>
      </c>
      <c r="H1214" s="3">
        <v>1183</v>
      </c>
    </row>
    <row r="1215" spans="1:8" ht="29.25" x14ac:dyDescent="0.25">
      <c r="A1215" s="2" t="str">
        <f>"00029826"</f>
        <v>00029826</v>
      </c>
      <c r="B1215" s="2" t="str">
        <f t="shared" si="54"/>
        <v>SG</v>
      </c>
      <c r="C1215" s="4" t="s">
        <v>782</v>
      </c>
      <c r="D1215" s="4" t="s">
        <v>0</v>
      </c>
      <c r="E1215" s="4" t="s">
        <v>12</v>
      </c>
      <c r="F1215" s="2" t="s">
        <v>0</v>
      </c>
      <c r="G1215" s="2" t="str">
        <f>"03"</f>
        <v>03</v>
      </c>
      <c r="H1215" s="3">
        <v>637</v>
      </c>
    </row>
    <row r="1216" spans="1:8" ht="29.25" x14ac:dyDescent="0.25">
      <c r="A1216" s="2" t="str">
        <f>"00029827"</f>
        <v>00029827</v>
      </c>
      <c r="B1216" s="2" t="str">
        <f t="shared" si="54"/>
        <v>SG</v>
      </c>
      <c r="C1216" s="4" t="s">
        <v>783</v>
      </c>
      <c r="D1216" s="4" t="s">
        <v>0</v>
      </c>
      <c r="E1216" s="4" t="s">
        <v>12</v>
      </c>
      <c r="F1216" s="2" t="s">
        <v>0</v>
      </c>
      <c r="G1216" s="2" t="str">
        <f>"08"</f>
        <v>08</v>
      </c>
      <c r="H1216" s="3">
        <v>1183</v>
      </c>
    </row>
    <row r="1217" spans="1:8" ht="43.5" x14ac:dyDescent="0.25">
      <c r="A1217" s="2" t="str">
        <f>"00029828"</f>
        <v>00029828</v>
      </c>
      <c r="B1217" s="2" t="str">
        <f t="shared" si="54"/>
        <v>SG</v>
      </c>
      <c r="C1217" s="4" t="s">
        <v>784</v>
      </c>
      <c r="D1217" s="4" t="s">
        <v>0</v>
      </c>
      <c r="E1217" s="4" t="s">
        <v>12</v>
      </c>
      <c r="F1217" s="2" t="s">
        <v>0</v>
      </c>
      <c r="G1217" s="2" t="str">
        <f>"02"</f>
        <v>02</v>
      </c>
      <c r="H1217" s="3">
        <v>552</v>
      </c>
    </row>
    <row r="1218" spans="1:8" x14ac:dyDescent="0.25">
      <c r="A1218" s="2" t="str">
        <f>"00029830"</f>
        <v>00029830</v>
      </c>
      <c r="B1218" s="2" t="str">
        <f t="shared" si="54"/>
        <v>SG</v>
      </c>
      <c r="C1218" s="4" t="s">
        <v>785</v>
      </c>
      <c r="D1218" s="4" t="s">
        <v>0</v>
      </c>
      <c r="E1218" s="4" t="s">
        <v>12</v>
      </c>
      <c r="F1218" s="2" t="s">
        <v>0</v>
      </c>
      <c r="G1218" s="2" t="str">
        <f>"08"</f>
        <v>08</v>
      </c>
      <c r="H1218" s="3">
        <v>1183</v>
      </c>
    </row>
    <row r="1219" spans="1:8" ht="29.25" x14ac:dyDescent="0.25">
      <c r="A1219" s="2" t="str">
        <f>"00029834"</f>
        <v>00029834</v>
      </c>
      <c r="B1219" s="2" t="str">
        <f t="shared" si="54"/>
        <v>SG</v>
      </c>
      <c r="C1219" s="4" t="s">
        <v>786</v>
      </c>
      <c r="D1219" s="4" t="s">
        <v>0</v>
      </c>
      <c r="E1219" s="4" t="s">
        <v>12</v>
      </c>
      <c r="F1219" s="2" t="s">
        <v>0</v>
      </c>
      <c r="G1219" s="2" t="str">
        <f>"03"</f>
        <v>03</v>
      </c>
      <c r="H1219" s="3">
        <v>637</v>
      </c>
    </row>
    <row r="1220" spans="1:8" ht="29.25" x14ac:dyDescent="0.25">
      <c r="A1220" s="2" t="str">
        <f>"00029835"</f>
        <v>00029835</v>
      </c>
      <c r="B1220" s="2" t="str">
        <f t="shared" si="54"/>
        <v>SG</v>
      </c>
      <c r="C1220" s="4" t="s">
        <v>786</v>
      </c>
      <c r="D1220" s="4" t="s">
        <v>0</v>
      </c>
      <c r="E1220" s="4" t="s">
        <v>12</v>
      </c>
      <c r="F1220" s="2" t="s">
        <v>0</v>
      </c>
      <c r="G1220" s="2" t="str">
        <f>"08"</f>
        <v>08</v>
      </c>
      <c r="H1220" s="3">
        <v>1183</v>
      </c>
    </row>
    <row r="1221" spans="1:8" ht="29.25" x14ac:dyDescent="0.25">
      <c r="A1221" s="2" t="str">
        <f>"00029836"</f>
        <v>00029836</v>
      </c>
      <c r="B1221" s="2" t="str">
        <f t="shared" si="54"/>
        <v>SG</v>
      </c>
      <c r="C1221" s="4" t="s">
        <v>786</v>
      </c>
      <c r="D1221" s="4" t="s">
        <v>0</v>
      </c>
      <c r="E1221" s="4" t="s">
        <v>12</v>
      </c>
      <c r="F1221" s="2" t="s">
        <v>0</v>
      </c>
      <c r="G1221" s="2" t="str">
        <f>"08"</f>
        <v>08</v>
      </c>
      <c r="H1221" s="3">
        <v>1183</v>
      </c>
    </row>
    <row r="1222" spans="1:8" ht="29.25" x14ac:dyDescent="0.25">
      <c r="A1222" s="2" t="str">
        <f>"00029837"</f>
        <v>00029837</v>
      </c>
      <c r="B1222" s="2" t="str">
        <f t="shared" si="54"/>
        <v>SG</v>
      </c>
      <c r="C1222" s="4" t="s">
        <v>786</v>
      </c>
      <c r="D1222" s="4" t="s">
        <v>0</v>
      </c>
      <c r="E1222" s="4" t="s">
        <v>12</v>
      </c>
      <c r="F1222" s="2" t="s">
        <v>0</v>
      </c>
      <c r="G1222" s="2" t="str">
        <f t="shared" ref="G1222:G1228" si="57">"03"</f>
        <v>03</v>
      </c>
      <c r="H1222" s="3">
        <v>637</v>
      </c>
    </row>
    <row r="1223" spans="1:8" ht="29.25" x14ac:dyDescent="0.25">
      <c r="A1223" s="2" t="str">
        <f>"00029838"</f>
        <v>00029838</v>
      </c>
      <c r="B1223" s="2" t="str">
        <f t="shared" si="54"/>
        <v>SG</v>
      </c>
      <c r="C1223" s="4" t="s">
        <v>786</v>
      </c>
      <c r="D1223" s="4" t="s">
        <v>0</v>
      </c>
      <c r="E1223" s="4" t="s">
        <v>12</v>
      </c>
      <c r="F1223" s="2" t="s">
        <v>0</v>
      </c>
      <c r="G1223" s="2" t="str">
        <f t="shared" si="57"/>
        <v>03</v>
      </c>
      <c r="H1223" s="3">
        <v>637</v>
      </c>
    </row>
    <row r="1224" spans="1:8" x14ac:dyDescent="0.25">
      <c r="A1224" s="2" t="str">
        <f>"00029840"</f>
        <v>00029840</v>
      </c>
      <c r="B1224" s="2" t="str">
        <f t="shared" si="54"/>
        <v>SG</v>
      </c>
      <c r="C1224" s="4" t="s">
        <v>787</v>
      </c>
      <c r="D1224" s="4" t="s">
        <v>0</v>
      </c>
      <c r="E1224" s="4" t="s">
        <v>12</v>
      </c>
      <c r="F1224" s="2" t="s">
        <v>0</v>
      </c>
      <c r="G1224" s="2" t="str">
        <f t="shared" si="57"/>
        <v>03</v>
      </c>
      <c r="H1224" s="3">
        <v>637</v>
      </c>
    </row>
    <row r="1225" spans="1:8" ht="29.25" x14ac:dyDescent="0.25">
      <c r="A1225" s="2" t="str">
        <f>"00029843"</f>
        <v>00029843</v>
      </c>
      <c r="B1225" s="2" t="str">
        <f t="shared" si="54"/>
        <v>SG</v>
      </c>
      <c r="C1225" s="4" t="s">
        <v>788</v>
      </c>
      <c r="D1225" s="4" t="s">
        <v>0</v>
      </c>
      <c r="E1225" s="4" t="s">
        <v>12</v>
      </c>
      <c r="F1225" s="2" t="s">
        <v>0</v>
      </c>
      <c r="G1225" s="2" t="str">
        <f t="shared" si="57"/>
        <v>03</v>
      </c>
      <c r="H1225" s="3">
        <v>637</v>
      </c>
    </row>
    <row r="1226" spans="1:8" ht="29.25" x14ac:dyDescent="0.25">
      <c r="A1226" s="2" t="str">
        <f>"00029844"</f>
        <v>00029844</v>
      </c>
      <c r="B1226" s="2" t="str">
        <f t="shared" si="54"/>
        <v>SG</v>
      </c>
      <c r="C1226" s="4" t="s">
        <v>788</v>
      </c>
      <c r="D1226" s="4" t="s">
        <v>0</v>
      </c>
      <c r="E1226" s="4" t="s">
        <v>12</v>
      </c>
      <c r="F1226" s="2" t="s">
        <v>0</v>
      </c>
      <c r="G1226" s="2" t="str">
        <f t="shared" si="57"/>
        <v>03</v>
      </c>
      <c r="H1226" s="3">
        <v>637</v>
      </c>
    </row>
    <row r="1227" spans="1:8" ht="29.25" x14ac:dyDescent="0.25">
      <c r="A1227" s="2" t="str">
        <f>"00029845"</f>
        <v>00029845</v>
      </c>
      <c r="B1227" s="2" t="str">
        <f t="shared" si="54"/>
        <v>SG</v>
      </c>
      <c r="C1227" s="4" t="s">
        <v>788</v>
      </c>
      <c r="D1227" s="4" t="s">
        <v>0</v>
      </c>
      <c r="E1227" s="4" t="s">
        <v>12</v>
      </c>
      <c r="F1227" s="2" t="s">
        <v>0</v>
      </c>
      <c r="G1227" s="2" t="str">
        <f t="shared" si="57"/>
        <v>03</v>
      </c>
      <c r="H1227" s="3">
        <v>637</v>
      </c>
    </row>
    <row r="1228" spans="1:8" ht="29.25" x14ac:dyDescent="0.25">
      <c r="A1228" s="2" t="str">
        <f>"00029846"</f>
        <v>00029846</v>
      </c>
      <c r="B1228" s="2" t="str">
        <f t="shared" si="54"/>
        <v>SG</v>
      </c>
      <c r="C1228" s="4" t="s">
        <v>788</v>
      </c>
      <c r="D1228" s="4" t="s">
        <v>0</v>
      </c>
      <c r="E1228" s="4" t="s">
        <v>12</v>
      </c>
      <c r="F1228" s="2" t="s">
        <v>0</v>
      </c>
      <c r="G1228" s="2" t="str">
        <f t="shared" si="57"/>
        <v>03</v>
      </c>
      <c r="H1228" s="3">
        <v>637</v>
      </c>
    </row>
    <row r="1229" spans="1:8" ht="29.25" x14ac:dyDescent="0.25">
      <c r="A1229" s="2" t="str">
        <f>"00029847"</f>
        <v>00029847</v>
      </c>
      <c r="B1229" s="2" t="str">
        <f t="shared" ref="B1229:B1292" si="58">"SG"</f>
        <v>SG</v>
      </c>
      <c r="C1229" s="4" t="s">
        <v>788</v>
      </c>
      <c r="D1229" s="4" t="s">
        <v>0</v>
      </c>
      <c r="E1229" s="4" t="s">
        <v>12</v>
      </c>
      <c r="F1229" s="2" t="s">
        <v>0</v>
      </c>
      <c r="G1229" s="2" t="str">
        <f>"08"</f>
        <v>08</v>
      </c>
      <c r="H1229" s="3">
        <v>1183</v>
      </c>
    </row>
    <row r="1230" spans="1:8" ht="29.25" x14ac:dyDescent="0.25">
      <c r="A1230" s="2" t="str">
        <f>"00029848"</f>
        <v>00029848</v>
      </c>
      <c r="B1230" s="2" t="str">
        <f t="shared" si="58"/>
        <v>SG</v>
      </c>
      <c r="C1230" s="4" t="s">
        <v>789</v>
      </c>
      <c r="D1230" s="4" t="s">
        <v>0</v>
      </c>
      <c r="E1230" s="4" t="s">
        <v>12</v>
      </c>
      <c r="F1230" s="2" t="s">
        <v>0</v>
      </c>
      <c r="G1230" s="2" t="str">
        <f>"03"</f>
        <v>03</v>
      </c>
      <c r="H1230" s="3">
        <v>637</v>
      </c>
    </row>
    <row r="1231" spans="1:8" ht="29.25" x14ac:dyDescent="0.25">
      <c r="A1231" s="2" t="str">
        <f>"00029850"</f>
        <v>00029850</v>
      </c>
      <c r="B1231" s="2" t="str">
        <f t="shared" si="58"/>
        <v>SG</v>
      </c>
      <c r="C1231" s="4" t="s">
        <v>790</v>
      </c>
      <c r="D1231" s="4" t="s">
        <v>0</v>
      </c>
      <c r="E1231" s="4" t="s">
        <v>12</v>
      </c>
      <c r="F1231" s="2" t="s">
        <v>0</v>
      </c>
      <c r="G1231" s="2" t="str">
        <f>"03"</f>
        <v>03</v>
      </c>
      <c r="H1231" s="3">
        <v>637</v>
      </c>
    </row>
    <row r="1232" spans="1:8" ht="29.25" x14ac:dyDescent="0.25">
      <c r="A1232" s="2" t="str">
        <f>"00029851"</f>
        <v>00029851</v>
      </c>
      <c r="B1232" s="2" t="str">
        <f t="shared" si="58"/>
        <v>SG</v>
      </c>
      <c r="C1232" s="4" t="s">
        <v>790</v>
      </c>
      <c r="D1232" s="4" t="s">
        <v>0</v>
      </c>
      <c r="E1232" s="4" t="s">
        <v>12</v>
      </c>
      <c r="F1232" s="2" t="s">
        <v>0</v>
      </c>
      <c r="G1232" s="2" t="str">
        <f t="shared" ref="G1232:G1238" si="59">"08"</f>
        <v>08</v>
      </c>
      <c r="H1232" s="3">
        <v>1183</v>
      </c>
    </row>
    <row r="1233" spans="1:8" ht="29.25" x14ac:dyDescent="0.25">
      <c r="A1233" s="2" t="str">
        <f>"00029855"</f>
        <v>00029855</v>
      </c>
      <c r="B1233" s="2" t="str">
        <f t="shared" si="58"/>
        <v>SG</v>
      </c>
      <c r="C1233" s="4" t="s">
        <v>791</v>
      </c>
      <c r="D1233" s="4" t="s">
        <v>0</v>
      </c>
      <c r="E1233" s="4" t="s">
        <v>12</v>
      </c>
      <c r="F1233" s="2" t="s">
        <v>0</v>
      </c>
      <c r="G1233" s="2" t="str">
        <f t="shared" si="59"/>
        <v>08</v>
      </c>
      <c r="H1233" s="3">
        <v>1183</v>
      </c>
    </row>
    <row r="1234" spans="1:8" ht="29.25" x14ac:dyDescent="0.25">
      <c r="A1234" s="2" t="str">
        <f>"00029856"</f>
        <v>00029856</v>
      </c>
      <c r="B1234" s="2" t="str">
        <f t="shared" si="58"/>
        <v>SG</v>
      </c>
      <c r="C1234" s="4" t="s">
        <v>791</v>
      </c>
      <c r="D1234" s="4" t="s">
        <v>0</v>
      </c>
      <c r="E1234" s="4" t="s">
        <v>12</v>
      </c>
      <c r="F1234" s="2" t="s">
        <v>0</v>
      </c>
      <c r="G1234" s="2" t="str">
        <f t="shared" si="59"/>
        <v>08</v>
      </c>
      <c r="H1234" s="3">
        <v>1183</v>
      </c>
    </row>
    <row r="1235" spans="1:8" x14ac:dyDescent="0.25">
      <c r="A1235" s="2" t="str">
        <f>"00029860"</f>
        <v>00029860</v>
      </c>
      <c r="B1235" s="2" t="str">
        <f t="shared" si="58"/>
        <v>SG</v>
      </c>
      <c r="C1235" s="4" t="s">
        <v>792</v>
      </c>
      <c r="D1235" s="4" t="s">
        <v>0</v>
      </c>
      <c r="E1235" s="4" t="s">
        <v>12</v>
      </c>
      <c r="F1235" s="2" t="s">
        <v>0</v>
      </c>
      <c r="G1235" s="2" t="str">
        <f t="shared" si="59"/>
        <v>08</v>
      </c>
      <c r="H1235" s="3">
        <v>1183</v>
      </c>
    </row>
    <row r="1236" spans="1:8" ht="29.25" x14ac:dyDescent="0.25">
      <c r="A1236" s="2" t="str">
        <f>"00029861"</f>
        <v>00029861</v>
      </c>
      <c r="B1236" s="2" t="str">
        <f t="shared" si="58"/>
        <v>SG</v>
      </c>
      <c r="C1236" s="4" t="s">
        <v>793</v>
      </c>
      <c r="D1236" s="4" t="s">
        <v>0</v>
      </c>
      <c r="E1236" s="4" t="s">
        <v>12</v>
      </c>
      <c r="F1236" s="2" t="s">
        <v>0</v>
      </c>
      <c r="G1236" s="2" t="str">
        <f t="shared" si="59"/>
        <v>08</v>
      </c>
      <c r="H1236" s="3">
        <v>1183</v>
      </c>
    </row>
    <row r="1237" spans="1:8" ht="29.25" x14ac:dyDescent="0.25">
      <c r="A1237" s="2" t="str">
        <f>"00029862"</f>
        <v>00029862</v>
      </c>
      <c r="B1237" s="2" t="str">
        <f t="shared" si="58"/>
        <v>SG</v>
      </c>
      <c r="C1237" s="4" t="s">
        <v>793</v>
      </c>
      <c r="D1237" s="4" t="s">
        <v>0</v>
      </c>
      <c r="E1237" s="4" t="s">
        <v>12</v>
      </c>
      <c r="F1237" s="2" t="s">
        <v>0</v>
      </c>
      <c r="G1237" s="2" t="str">
        <f t="shared" si="59"/>
        <v>08</v>
      </c>
      <c r="H1237" s="3">
        <v>1183</v>
      </c>
    </row>
    <row r="1238" spans="1:8" ht="29.25" x14ac:dyDescent="0.25">
      <c r="A1238" s="2" t="str">
        <f>"00029863"</f>
        <v>00029863</v>
      </c>
      <c r="B1238" s="2" t="str">
        <f t="shared" si="58"/>
        <v>SG</v>
      </c>
      <c r="C1238" s="4" t="s">
        <v>793</v>
      </c>
      <c r="D1238" s="4" t="s">
        <v>0</v>
      </c>
      <c r="E1238" s="4" t="s">
        <v>12</v>
      </c>
      <c r="F1238" s="2" t="s">
        <v>0</v>
      </c>
      <c r="G1238" s="2" t="str">
        <f t="shared" si="59"/>
        <v>08</v>
      </c>
      <c r="H1238" s="3">
        <v>1183</v>
      </c>
    </row>
    <row r="1239" spans="1:8" x14ac:dyDescent="0.25">
      <c r="A1239" s="2" t="str">
        <f>"00029870"</f>
        <v>00029870</v>
      </c>
      <c r="B1239" s="2" t="str">
        <f t="shared" si="58"/>
        <v>SG</v>
      </c>
      <c r="C1239" s="4" t="s">
        <v>794</v>
      </c>
      <c r="D1239" s="4" t="s">
        <v>0</v>
      </c>
      <c r="E1239" s="4" t="s">
        <v>12</v>
      </c>
      <c r="F1239" s="2" t="s">
        <v>0</v>
      </c>
      <c r="G1239" s="2" t="str">
        <f t="shared" ref="G1239:G1251" si="60">"03"</f>
        <v>03</v>
      </c>
      <c r="H1239" s="3">
        <v>637</v>
      </c>
    </row>
    <row r="1240" spans="1:8" ht="29.25" x14ac:dyDescent="0.25">
      <c r="A1240" s="2" t="str">
        <f>"00029871"</f>
        <v>00029871</v>
      </c>
      <c r="B1240" s="2" t="str">
        <f t="shared" si="58"/>
        <v>SG</v>
      </c>
      <c r="C1240" s="4" t="s">
        <v>795</v>
      </c>
      <c r="D1240" s="4" t="s">
        <v>0</v>
      </c>
      <c r="E1240" s="4" t="s">
        <v>12</v>
      </c>
      <c r="F1240" s="2" t="s">
        <v>0</v>
      </c>
      <c r="G1240" s="2" t="str">
        <f t="shared" si="60"/>
        <v>03</v>
      </c>
      <c r="H1240" s="3">
        <v>637</v>
      </c>
    </row>
    <row r="1241" spans="1:8" ht="29.25" x14ac:dyDescent="0.25">
      <c r="A1241" s="2" t="str">
        <f>"00029873"</f>
        <v>00029873</v>
      </c>
      <c r="B1241" s="2" t="str">
        <f t="shared" si="58"/>
        <v>SG</v>
      </c>
      <c r="C1241" s="4" t="s">
        <v>790</v>
      </c>
      <c r="D1241" s="4" t="s">
        <v>0</v>
      </c>
      <c r="E1241" s="4" t="s">
        <v>12</v>
      </c>
      <c r="F1241" s="2" t="s">
        <v>0</v>
      </c>
      <c r="G1241" s="2" t="str">
        <f t="shared" si="60"/>
        <v>03</v>
      </c>
      <c r="H1241" s="3">
        <v>637</v>
      </c>
    </row>
    <row r="1242" spans="1:8" ht="29.25" x14ac:dyDescent="0.25">
      <c r="A1242" s="2" t="str">
        <f>"00029874"</f>
        <v>00029874</v>
      </c>
      <c r="B1242" s="2" t="str">
        <f t="shared" si="58"/>
        <v>SG</v>
      </c>
      <c r="C1242" s="4" t="s">
        <v>790</v>
      </c>
      <c r="D1242" s="4" t="s">
        <v>0</v>
      </c>
      <c r="E1242" s="4" t="s">
        <v>12</v>
      </c>
      <c r="F1242" s="2" t="s">
        <v>0</v>
      </c>
      <c r="G1242" s="2" t="str">
        <f t="shared" si="60"/>
        <v>03</v>
      </c>
      <c r="H1242" s="3">
        <v>637</v>
      </c>
    </row>
    <row r="1243" spans="1:8" ht="29.25" x14ac:dyDescent="0.25">
      <c r="A1243" s="2" t="str">
        <f>"00029875"</f>
        <v>00029875</v>
      </c>
      <c r="B1243" s="2" t="str">
        <f t="shared" si="58"/>
        <v>SG</v>
      </c>
      <c r="C1243" s="4" t="s">
        <v>790</v>
      </c>
      <c r="D1243" s="4" t="s">
        <v>0</v>
      </c>
      <c r="E1243" s="4" t="s">
        <v>12</v>
      </c>
      <c r="F1243" s="2" t="s">
        <v>0</v>
      </c>
      <c r="G1243" s="2" t="str">
        <f t="shared" si="60"/>
        <v>03</v>
      </c>
      <c r="H1243" s="3">
        <v>637</v>
      </c>
    </row>
    <row r="1244" spans="1:8" ht="29.25" x14ac:dyDescent="0.25">
      <c r="A1244" s="2" t="str">
        <f>"00029876"</f>
        <v>00029876</v>
      </c>
      <c r="B1244" s="2" t="str">
        <f t="shared" si="58"/>
        <v>SG</v>
      </c>
      <c r="C1244" s="4" t="s">
        <v>790</v>
      </c>
      <c r="D1244" s="4" t="s">
        <v>0</v>
      </c>
      <c r="E1244" s="4" t="s">
        <v>12</v>
      </c>
      <c r="F1244" s="2" t="s">
        <v>0</v>
      </c>
      <c r="G1244" s="2" t="str">
        <f t="shared" si="60"/>
        <v>03</v>
      </c>
      <c r="H1244" s="3">
        <v>637</v>
      </c>
    </row>
    <row r="1245" spans="1:8" ht="29.25" x14ac:dyDescent="0.25">
      <c r="A1245" s="2" t="str">
        <f>"00029877"</f>
        <v>00029877</v>
      </c>
      <c r="B1245" s="2" t="str">
        <f t="shared" si="58"/>
        <v>SG</v>
      </c>
      <c r="C1245" s="4" t="s">
        <v>790</v>
      </c>
      <c r="D1245" s="4" t="s">
        <v>0</v>
      </c>
      <c r="E1245" s="4" t="s">
        <v>12</v>
      </c>
      <c r="F1245" s="2" t="s">
        <v>0</v>
      </c>
      <c r="G1245" s="2" t="str">
        <f t="shared" si="60"/>
        <v>03</v>
      </c>
      <c r="H1245" s="3">
        <v>637</v>
      </c>
    </row>
    <row r="1246" spans="1:8" ht="29.25" x14ac:dyDescent="0.25">
      <c r="A1246" s="2" t="str">
        <f>"00029879"</f>
        <v>00029879</v>
      </c>
      <c r="B1246" s="2" t="str">
        <f t="shared" si="58"/>
        <v>SG</v>
      </c>
      <c r="C1246" s="4" t="s">
        <v>790</v>
      </c>
      <c r="D1246" s="4" t="s">
        <v>0</v>
      </c>
      <c r="E1246" s="4" t="s">
        <v>12</v>
      </c>
      <c r="F1246" s="2" t="s">
        <v>0</v>
      </c>
      <c r="G1246" s="2" t="str">
        <f t="shared" si="60"/>
        <v>03</v>
      </c>
      <c r="H1246" s="3">
        <v>637</v>
      </c>
    </row>
    <row r="1247" spans="1:8" ht="29.25" x14ac:dyDescent="0.25">
      <c r="A1247" s="2" t="str">
        <f>"00029880"</f>
        <v>00029880</v>
      </c>
      <c r="B1247" s="2" t="str">
        <f t="shared" si="58"/>
        <v>SG</v>
      </c>
      <c r="C1247" s="4" t="s">
        <v>790</v>
      </c>
      <c r="D1247" s="4" t="s">
        <v>0</v>
      </c>
      <c r="E1247" s="4" t="s">
        <v>12</v>
      </c>
      <c r="F1247" s="2" t="s">
        <v>0</v>
      </c>
      <c r="G1247" s="2" t="str">
        <f t="shared" si="60"/>
        <v>03</v>
      </c>
      <c r="H1247" s="3">
        <v>637</v>
      </c>
    </row>
    <row r="1248" spans="1:8" ht="29.25" x14ac:dyDescent="0.25">
      <c r="A1248" s="2" t="str">
        <f>"00029881"</f>
        <v>00029881</v>
      </c>
      <c r="B1248" s="2" t="str">
        <f t="shared" si="58"/>
        <v>SG</v>
      </c>
      <c r="C1248" s="4" t="s">
        <v>790</v>
      </c>
      <c r="D1248" s="4" t="s">
        <v>0</v>
      </c>
      <c r="E1248" s="4" t="s">
        <v>12</v>
      </c>
      <c r="F1248" s="2" t="s">
        <v>0</v>
      </c>
      <c r="G1248" s="2" t="str">
        <f t="shared" si="60"/>
        <v>03</v>
      </c>
      <c r="H1248" s="3">
        <v>637</v>
      </c>
    </row>
    <row r="1249" spans="1:8" ht="29.25" x14ac:dyDescent="0.25">
      <c r="A1249" s="2" t="str">
        <f>"00029882"</f>
        <v>00029882</v>
      </c>
      <c r="B1249" s="2" t="str">
        <f t="shared" si="58"/>
        <v>SG</v>
      </c>
      <c r="C1249" s="4" t="s">
        <v>790</v>
      </c>
      <c r="D1249" s="4" t="s">
        <v>0</v>
      </c>
      <c r="E1249" s="4" t="s">
        <v>12</v>
      </c>
      <c r="F1249" s="2" t="s">
        <v>0</v>
      </c>
      <c r="G1249" s="2" t="str">
        <f t="shared" si="60"/>
        <v>03</v>
      </c>
      <c r="H1249" s="3">
        <v>637</v>
      </c>
    </row>
    <row r="1250" spans="1:8" ht="29.25" x14ac:dyDescent="0.25">
      <c r="A1250" s="2" t="str">
        <f>"00029883"</f>
        <v>00029883</v>
      </c>
      <c r="B1250" s="2" t="str">
        <f t="shared" si="58"/>
        <v>SG</v>
      </c>
      <c r="C1250" s="4" t="s">
        <v>790</v>
      </c>
      <c r="D1250" s="4" t="s">
        <v>0</v>
      </c>
      <c r="E1250" s="4" t="s">
        <v>12</v>
      </c>
      <c r="F1250" s="2" t="s">
        <v>0</v>
      </c>
      <c r="G1250" s="2" t="str">
        <f t="shared" si="60"/>
        <v>03</v>
      </c>
      <c r="H1250" s="3">
        <v>637</v>
      </c>
    </row>
    <row r="1251" spans="1:8" ht="29.25" x14ac:dyDescent="0.25">
      <c r="A1251" s="2" t="str">
        <f>"00029884"</f>
        <v>00029884</v>
      </c>
      <c r="B1251" s="2" t="str">
        <f t="shared" si="58"/>
        <v>SG</v>
      </c>
      <c r="C1251" s="4" t="s">
        <v>790</v>
      </c>
      <c r="D1251" s="4" t="s">
        <v>0</v>
      </c>
      <c r="E1251" s="4" t="s">
        <v>12</v>
      </c>
      <c r="F1251" s="2" t="s">
        <v>0</v>
      </c>
      <c r="G1251" s="2" t="str">
        <f t="shared" si="60"/>
        <v>03</v>
      </c>
      <c r="H1251" s="3">
        <v>637</v>
      </c>
    </row>
    <row r="1252" spans="1:8" ht="29.25" x14ac:dyDescent="0.25">
      <c r="A1252" s="2" t="str">
        <f>"00029885"</f>
        <v>00029885</v>
      </c>
      <c r="B1252" s="2" t="str">
        <f t="shared" si="58"/>
        <v>SG</v>
      </c>
      <c r="C1252" s="4" t="s">
        <v>790</v>
      </c>
      <c r="D1252" s="4" t="s">
        <v>0</v>
      </c>
      <c r="E1252" s="4" t="s">
        <v>12</v>
      </c>
      <c r="F1252" s="2" t="s">
        <v>0</v>
      </c>
      <c r="G1252" s="2" t="str">
        <f>"08"</f>
        <v>08</v>
      </c>
      <c r="H1252" s="3">
        <v>1183</v>
      </c>
    </row>
    <row r="1253" spans="1:8" ht="29.25" x14ac:dyDescent="0.25">
      <c r="A1253" s="2" t="str">
        <f>"00029886"</f>
        <v>00029886</v>
      </c>
      <c r="B1253" s="2" t="str">
        <f t="shared" si="58"/>
        <v>SG</v>
      </c>
      <c r="C1253" s="4" t="s">
        <v>790</v>
      </c>
      <c r="D1253" s="4" t="s">
        <v>0</v>
      </c>
      <c r="E1253" s="4" t="s">
        <v>12</v>
      </c>
      <c r="F1253" s="2" t="s">
        <v>0</v>
      </c>
      <c r="G1253" s="2" t="str">
        <f>"03"</f>
        <v>03</v>
      </c>
      <c r="H1253" s="3">
        <v>637</v>
      </c>
    </row>
    <row r="1254" spans="1:8" ht="29.25" x14ac:dyDescent="0.25">
      <c r="A1254" s="2" t="str">
        <f>"00029887"</f>
        <v>00029887</v>
      </c>
      <c r="B1254" s="2" t="str">
        <f t="shared" si="58"/>
        <v>SG</v>
      </c>
      <c r="C1254" s="4" t="s">
        <v>790</v>
      </c>
      <c r="D1254" s="4" t="s">
        <v>0</v>
      </c>
      <c r="E1254" s="4" t="s">
        <v>12</v>
      </c>
      <c r="F1254" s="2" t="s">
        <v>0</v>
      </c>
      <c r="G1254" s="2" t="str">
        <f>"03"</f>
        <v>03</v>
      </c>
      <c r="H1254" s="3">
        <v>637</v>
      </c>
    </row>
    <row r="1255" spans="1:8" ht="29.25" x14ac:dyDescent="0.25">
      <c r="A1255" s="2" t="str">
        <f>"00029888"</f>
        <v>00029888</v>
      </c>
      <c r="B1255" s="2" t="str">
        <f t="shared" si="58"/>
        <v>SG</v>
      </c>
      <c r="C1255" s="4" t="s">
        <v>790</v>
      </c>
      <c r="D1255" s="4" t="s">
        <v>0</v>
      </c>
      <c r="E1255" s="4" t="s">
        <v>12</v>
      </c>
      <c r="F1255" s="2" t="s">
        <v>0</v>
      </c>
      <c r="G1255" s="2" t="str">
        <f>"09"</f>
        <v>09</v>
      </c>
      <c r="H1255" s="3">
        <v>1662</v>
      </c>
    </row>
    <row r="1256" spans="1:8" ht="29.25" x14ac:dyDescent="0.25">
      <c r="A1256" s="2" t="str">
        <f>"00029889"</f>
        <v>00029889</v>
      </c>
      <c r="B1256" s="2" t="str">
        <f t="shared" si="58"/>
        <v>SG</v>
      </c>
      <c r="C1256" s="4" t="s">
        <v>790</v>
      </c>
      <c r="D1256" s="4" t="s">
        <v>0</v>
      </c>
      <c r="E1256" s="4" t="s">
        <v>12</v>
      </c>
      <c r="F1256" s="2" t="s">
        <v>0</v>
      </c>
      <c r="G1256" s="2" t="str">
        <f>"09"</f>
        <v>09</v>
      </c>
      <c r="H1256" s="3">
        <v>1662</v>
      </c>
    </row>
    <row r="1257" spans="1:8" ht="29.25" x14ac:dyDescent="0.25">
      <c r="A1257" s="2" t="str">
        <f>"00029891"</f>
        <v>00029891</v>
      </c>
      <c r="B1257" s="2" t="str">
        <f t="shared" si="58"/>
        <v>SG</v>
      </c>
      <c r="C1257" s="4" t="s">
        <v>796</v>
      </c>
      <c r="D1257" s="4" t="s">
        <v>0</v>
      </c>
      <c r="E1257" s="4" t="s">
        <v>12</v>
      </c>
      <c r="F1257" s="2" t="s">
        <v>0</v>
      </c>
      <c r="G1257" s="2" t="str">
        <f>"08"</f>
        <v>08</v>
      </c>
      <c r="H1257" s="3">
        <v>1183</v>
      </c>
    </row>
    <row r="1258" spans="1:8" ht="29.25" x14ac:dyDescent="0.25">
      <c r="A1258" s="2" t="str">
        <f>"00029892"</f>
        <v>00029892</v>
      </c>
      <c r="B1258" s="2" t="str">
        <f t="shared" si="58"/>
        <v>SG</v>
      </c>
      <c r="C1258" s="4" t="s">
        <v>796</v>
      </c>
      <c r="D1258" s="4" t="s">
        <v>0</v>
      </c>
      <c r="E1258" s="4" t="s">
        <v>12</v>
      </c>
      <c r="F1258" s="2" t="s">
        <v>0</v>
      </c>
      <c r="G1258" s="2" t="str">
        <f>"07"</f>
        <v>07</v>
      </c>
      <c r="H1258" s="3">
        <v>1233</v>
      </c>
    </row>
    <row r="1259" spans="1:8" ht="29.25" x14ac:dyDescent="0.25">
      <c r="A1259" s="2" t="str">
        <f>"00029893"</f>
        <v>00029893</v>
      </c>
      <c r="B1259" s="2" t="str">
        <f t="shared" si="58"/>
        <v>SG</v>
      </c>
      <c r="C1259" s="4" t="s">
        <v>797</v>
      </c>
      <c r="D1259" s="4" t="s">
        <v>0</v>
      </c>
      <c r="E1259" s="4" t="s">
        <v>12</v>
      </c>
      <c r="F1259" s="2" t="s">
        <v>0</v>
      </c>
      <c r="G1259" s="2" t="str">
        <f>"02"</f>
        <v>02</v>
      </c>
      <c r="H1259" s="3">
        <v>552</v>
      </c>
    </row>
    <row r="1260" spans="1:8" ht="29.25" x14ac:dyDescent="0.25">
      <c r="A1260" s="2" t="str">
        <f>"00029894"</f>
        <v>00029894</v>
      </c>
      <c r="B1260" s="2" t="str">
        <f t="shared" si="58"/>
        <v>SG</v>
      </c>
      <c r="C1260" s="4" t="s">
        <v>796</v>
      </c>
      <c r="D1260" s="4" t="s">
        <v>0</v>
      </c>
      <c r="E1260" s="4" t="s">
        <v>12</v>
      </c>
      <c r="F1260" s="2" t="s">
        <v>0</v>
      </c>
      <c r="G1260" s="2" t="str">
        <f>"03"</f>
        <v>03</v>
      </c>
      <c r="H1260" s="3">
        <v>637</v>
      </c>
    </row>
    <row r="1261" spans="1:8" ht="29.25" x14ac:dyDescent="0.25">
      <c r="A1261" s="2" t="str">
        <f>"00029895"</f>
        <v>00029895</v>
      </c>
      <c r="B1261" s="2" t="str">
        <f t="shared" si="58"/>
        <v>SG</v>
      </c>
      <c r="C1261" s="4" t="s">
        <v>796</v>
      </c>
      <c r="D1261" s="4" t="s">
        <v>0</v>
      </c>
      <c r="E1261" s="4" t="s">
        <v>12</v>
      </c>
      <c r="F1261" s="2" t="s">
        <v>0</v>
      </c>
      <c r="G1261" s="2" t="str">
        <f>"03"</f>
        <v>03</v>
      </c>
      <c r="H1261" s="3">
        <v>637</v>
      </c>
    </row>
    <row r="1262" spans="1:8" ht="29.25" x14ac:dyDescent="0.25">
      <c r="A1262" s="2" t="str">
        <f>"00029897"</f>
        <v>00029897</v>
      </c>
      <c r="B1262" s="2" t="str">
        <f t="shared" si="58"/>
        <v>SG</v>
      </c>
      <c r="C1262" s="4" t="s">
        <v>796</v>
      </c>
      <c r="D1262" s="4" t="s">
        <v>0</v>
      </c>
      <c r="E1262" s="4" t="s">
        <v>12</v>
      </c>
      <c r="F1262" s="2" t="s">
        <v>0</v>
      </c>
      <c r="G1262" s="2" t="str">
        <f>"03"</f>
        <v>03</v>
      </c>
      <c r="H1262" s="3">
        <v>637</v>
      </c>
    </row>
    <row r="1263" spans="1:8" ht="29.25" x14ac:dyDescent="0.25">
      <c r="A1263" s="2" t="str">
        <f>"00029898"</f>
        <v>00029898</v>
      </c>
      <c r="B1263" s="2" t="str">
        <f t="shared" si="58"/>
        <v>SG</v>
      </c>
      <c r="C1263" s="4" t="s">
        <v>796</v>
      </c>
      <c r="D1263" s="4" t="s">
        <v>0</v>
      </c>
      <c r="E1263" s="4" t="s">
        <v>12</v>
      </c>
      <c r="F1263" s="2" t="s">
        <v>0</v>
      </c>
      <c r="G1263" s="2" t="str">
        <f>"03"</f>
        <v>03</v>
      </c>
      <c r="H1263" s="3">
        <v>637</v>
      </c>
    </row>
    <row r="1264" spans="1:8" ht="29.25" x14ac:dyDescent="0.25">
      <c r="A1264" s="2" t="str">
        <f>"00029899"</f>
        <v>00029899</v>
      </c>
      <c r="B1264" s="2" t="str">
        <f t="shared" si="58"/>
        <v>SG</v>
      </c>
      <c r="C1264" s="4" t="s">
        <v>796</v>
      </c>
      <c r="D1264" s="4" t="s">
        <v>0</v>
      </c>
      <c r="E1264" s="4" t="s">
        <v>12</v>
      </c>
      <c r="F1264" s="2" t="s">
        <v>0</v>
      </c>
      <c r="G1264" s="2" t="str">
        <f>"08"</f>
        <v>08</v>
      </c>
      <c r="H1264" s="3">
        <v>1183</v>
      </c>
    </row>
    <row r="1265" spans="1:8" ht="29.25" x14ac:dyDescent="0.25">
      <c r="A1265" s="2" t="str">
        <f>"00029900"</f>
        <v>00029900</v>
      </c>
      <c r="B1265" s="2" t="str">
        <f t="shared" si="58"/>
        <v>SG</v>
      </c>
      <c r="C1265" s="4" t="s">
        <v>798</v>
      </c>
      <c r="D1265" s="4" t="s">
        <v>0</v>
      </c>
      <c r="E1265" s="4" t="s">
        <v>12</v>
      </c>
      <c r="F1265" s="2" t="s">
        <v>0</v>
      </c>
      <c r="G1265" s="2" t="str">
        <f>"03"</f>
        <v>03</v>
      </c>
      <c r="H1265" s="3">
        <v>637</v>
      </c>
    </row>
    <row r="1266" spans="1:8" ht="29.25" x14ac:dyDescent="0.25">
      <c r="A1266" s="2" t="str">
        <f>"00029901"</f>
        <v>00029901</v>
      </c>
      <c r="B1266" s="2" t="str">
        <f t="shared" si="58"/>
        <v>SG</v>
      </c>
      <c r="C1266" s="4" t="s">
        <v>799</v>
      </c>
      <c r="D1266" s="4" t="s">
        <v>0</v>
      </c>
      <c r="E1266" s="4" t="s">
        <v>12</v>
      </c>
      <c r="F1266" s="2" t="s">
        <v>0</v>
      </c>
      <c r="G1266" s="2" t="str">
        <f>"08"</f>
        <v>08</v>
      </c>
      <c r="H1266" s="3">
        <v>1183</v>
      </c>
    </row>
    <row r="1267" spans="1:8" ht="29.25" x14ac:dyDescent="0.25">
      <c r="A1267" s="2" t="str">
        <f>"00029902"</f>
        <v>00029902</v>
      </c>
      <c r="B1267" s="2" t="str">
        <f t="shared" si="58"/>
        <v>SG</v>
      </c>
      <c r="C1267" s="4" t="s">
        <v>799</v>
      </c>
      <c r="D1267" s="4" t="s">
        <v>0</v>
      </c>
      <c r="E1267" s="4" t="s">
        <v>12</v>
      </c>
      <c r="F1267" s="2" t="s">
        <v>0</v>
      </c>
      <c r="G1267" s="2" t="str">
        <f>"03"</f>
        <v>03</v>
      </c>
      <c r="H1267" s="3">
        <v>637</v>
      </c>
    </row>
    <row r="1268" spans="1:8" ht="29.25" x14ac:dyDescent="0.25">
      <c r="A1268" s="2" t="str">
        <f>"00030115"</f>
        <v>00030115</v>
      </c>
      <c r="B1268" s="2" t="str">
        <f t="shared" si="58"/>
        <v>SG</v>
      </c>
      <c r="C1268" s="4" t="s">
        <v>800</v>
      </c>
      <c r="D1268" s="4" t="s">
        <v>0</v>
      </c>
      <c r="E1268" s="4" t="s">
        <v>12</v>
      </c>
      <c r="F1268" s="2" t="s">
        <v>0</v>
      </c>
      <c r="G1268" s="2" t="str">
        <f>"02"</f>
        <v>02</v>
      </c>
      <c r="H1268" s="3">
        <v>552</v>
      </c>
    </row>
    <row r="1269" spans="1:8" ht="29.25" x14ac:dyDescent="0.25">
      <c r="A1269" s="2" t="str">
        <f>"00030117"</f>
        <v>00030117</v>
      </c>
      <c r="B1269" s="2" t="str">
        <f t="shared" si="58"/>
        <v>SG</v>
      </c>
      <c r="C1269" s="4" t="s">
        <v>801</v>
      </c>
      <c r="D1269" s="4" t="s">
        <v>0</v>
      </c>
      <c r="E1269" s="4" t="s">
        <v>12</v>
      </c>
      <c r="F1269" s="2" t="s">
        <v>0</v>
      </c>
      <c r="G1269" s="2" t="str">
        <f>"01"</f>
        <v>01</v>
      </c>
      <c r="H1269" s="3">
        <v>413</v>
      </c>
    </row>
    <row r="1270" spans="1:8" ht="29.25" x14ac:dyDescent="0.25">
      <c r="A1270" s="2" t="str">
        <f>"00030118"</f>
        <v>00030118</v>
      </c>
      <c r="B1270" s="2" t="str">
        <f t="shared" si="58"/>
        <v>SG</v>
      </c>
      <c r="C1270" s="4" t="s">
        <v>801</v>
      </c>
      <c r="D1270" s="4" t="s">
        <v>0</v>
      </c>
      <c r="E1270" s="4" t="s">
        <v>12</v>
      </c>
      <c r="F1270" s="2" t="s">
        <v>0</v>
      </c>
      <c r="G1270" s="2" t="str">
        <f>"02"</f>
        <v>02</v>
      </c>
      <c r="H1270" s="3">
        <v>552</v>
      </c>
    </row>
    <row r="1271" spans="1:8" x14ac:dyDescent="0.25">
      <c r="A1271" s="2" t="str">
        <f>"00030120"</f>
        <v>00030120</v>
      </c>
      <c r="B1271" s="2" t="str">
        <f t="shared" si="58"/>
        <v>SG</v>
      </c>
      <c r="C1271" s="4" t="s">
        <v>802</v>
      </c>
      <c r="D1271" s="4" t="s">
        <v>0</v>
      </c>
      <c r="E1271" s="4" t="s">
        <v>12</v>
      </c>
      <c r="F1271" s="2" t="s">
        <v>0</v>
      </c>
      <c r="G1271" s="2" t="str">
        <f>"02"</f>
        <v>02</v>
      </c>
      <c r="H1271" s="3">
        <v>552</v>
      </c>
    </row>
    <row r="1272" spans="1:8" x14ac:dyDescent="0.25">
      <c r="A1272" s="2" t="str">
        <f>"00030125"</f>
        <v>00030125</v>
      </c>
      <c r="B1272" s="2" t="str">
        <f t="shared" si="58"/>
        <v>SG</v>
      </c>
      <c r="C1272" s="4" t="s">
        <v>803</v>
      </c>
      <c r="D1272" s="4" t="s">
        <v>0</v>
      </c>
      <c r="E1272" s="4" t="s">
        <v>12</v>
      </c>
      <c r="F1272" s="2" t="s">
        <v>0</v>
      </c>
      <c r="G1272" s="2" t="str">
        <f>"07"</f>
        <v>07</v>
      </c>
      <c r="H1272" s="3">
        <v>1233</v>
      </c>
    </row>
    <row r="1273" spans="1:8" ht="29.25" x14ac:dyDescent="0.25">
      <c r="A1273" s="2" t="str">
        <f>"00030130"</f>
        <v>00030130</v>
      </c>
      <c r="B1273" s="2" t="str">
        <f t="shared" si="58"/>
        <v>SG</v>
      </c>
      <c r="C1273" s="4" t="s">
        <v>804</v>
      </c>
      <c r="D1273" s="4" t="s">
        <v>0</v>
      </c>
      <c r="E1273" s="4" t="s">
        <v>12</v>
      </c>
      <c r="F1273" s="2" t="s">
        <v>0</v>
      </c>
      <c r="G1273" s="2" t="str">
        <f>"02"</f>
        <v>02</v>
      </c>
      <c r="H1273" s="3">
        <v>552</v>
      </c>
    </row>
    <row r="1274" spans="1:8" ht="29.25" x14ac:dyDescent="0.25">
      <c r="A1274" s="2" t="str">
        <f>"00030140"</f>
        <v>00030140</v>
      </c>
      <c r="B1274" s="2" t="str">
        <f t="shared" si="58"/>
        <v>SG</v>
      </c>
      <c r="C1274" s="4" t="s">
        <v>805</v>
      </c>
      <c r="D1274" s="4" t="s">
        <v>0</v>
      </c>
      <c r="E1274" s="4" t="s">
        <v>12</v>
      </c>
      <c r="F1274" s="2" t="s">
        <v>0</v>
      </c>
      <c r="G1274" s="2" t="str">
        <f>"02"</f>
        <v>02</v>
      </c>
      <c r="H1274" s="3">
        <v>552</v>
      </c>
    </row>
    <row r="1275" spans="1:8" ht="29.25" x14ac:dyDescent="0.25">
      <c r="A1275" s="2" t="str">
        <f>"00030150"</f>
        <v>00030150</v>
      </c>
      <c r="B1275" s="2" t="str">
        <f t="shared" si="58"/>
        <v>SG</v>
      </c>
      <c r="C1275" s="4" t="s">
        <v>806</v>
      </c>
      <c r="D1275" s="4" t="s">
        <v>0</v>
      </c>
      <c r="E1275" s="4" t="s">
        <v>12</v>
      </c>
      <c r="F1275" s="2" t="s">
        <v>0</v>
      </c>
      <c r="G1275" s="2" t="str">
        <f>"07"</f>
        <v>07</v>
      </c>
      <c r="H1275" s="3">
        <v>1233</v>
      </c>
    </row>
    <row r="1276" spans="1:8" x14ac:dyDescent="0.25">
      <c r="A1276" s="2" t="str">
        <f>"00030160"</f>
        <v>00030160</v>
      </c>
      <c r="B1276" s="2" t="str">
        <f t="shared" si="58"/>
        <v>SG</v>
      </c>
      <c r="C1276" s="4" t="s">
        <v>807</v>
      </c>
      <c r="D1276" s="4" t="s">
        <v>0</v>
      </c>
      <c r="E1276" s="4" t="s">
        <v>12</v>
      </c>
      <c r="F1276" s="2" t="s">
        <v>0</v>
      </c>
      <c r="G1276" s="2" t="str">
        <f>"07"</f>
        <v>07</v>
      </c>
      <c r="H1276" s="3">
        <v>1233</v>
      </c>
    </row>
    <row r="1277" spans="1:8" ht="29.25" x14ac:dyDescent="0.25">
      <c r="A1277" s="2" t="str">
        <f>"00030220"</f>
        <v>00030220</v>
      </c>
      <c r="B1277" s="2" t="str">
        <f t="shared" si="58"/>
        <v>SG</v>
      </c>
      <c r="C1277" s="4" t="s">
        <v>808</v>
      </c>
      <c r="D1277" s="4" t="s">
        <v>0</v>
      </c>
      <c r="E1277" s="4" t="s">
        <v>12</v>
      </c>
      <c r="F1277" s="2" t="s">
        <v>0</v>
      </c>
      <c r="G1277" s="2" t="str">
        <f>"01"</f>
        <v>01</v>
      </c>
      <c r="H1277" s="3">
        <v>413</v>
      </c>
    </row>
    <row r="1278" spans="1:8" ht="29.25" x14ac:dyDescent="0.25">
      <c r="A1278" s="2" t="str">
        <f>"00030310"</f>
        <v>00030310</v>
      </c>
      <c r="B1278" s="2" t="str">
        <f t="shared" si="58"/>
        <v>SG</v>
      </c>
      <c r="C1278" s="4" t="s">
        <v>809</v>
      </c>
      <c r="D1278" s="4" t="s">
        <v>0</v>
      </c>
      <c r="E1278" s="4" t="s">
        <v>12</v>
      </c>
      <c r="F1278" s="2" t="s">
        <v>0</v>
      </c>
      <c r="G1278" s="2" t="str">
        <f>"01"</f>
        <v>01</v>
      </c>
      <c r="H1278" s="3">
        <v>413</v>
      </c>
    </row>
    <row r="1279" spans="1:8" ht="29.25" x14ac:dyDescent="0.25">
      <c r="A1279" s="2" t="str">
        <f>"00030320"</f>
        <v>00030320</v>
      </c>
      <c r="B1279" s="2" t="str">
        <f t="shared" si="58"/>
        <v>SG</v>
      </c>
      <c r="C1279" s="4" t="s">
        <v>809</v>
      </c>
      <c r="D1279" s="4" t="s">
        <v>0</v>
      </c>
      <c r="E1279" s="4" t="s">
        <v>12</v>
      </c>
      <c r="F1279" s="2" t="s">
        <v>0</v>
      </c>
      <c r="G1279" s="2" t="str">
        <f>"02"</f>
        <v>02</v>
      </c>
      <c r="H1279" s="3">
        <v>552</v>
      </c>
    </row>
    <row r="1280" spans="1:8" ht="29.25" x14ac:dyDescent="0.25">
      <c r="A1280" s="2" t="str">
        <f>"00030400"</f>
        <v>00030400</v>
      </c>
      <c r="B1280" s="2" t="str">
        <f t="shared" si="58"/>
        <v>SG</v>
      </c>
      <c r="C1280" s="4" t="s">
        <v>810</v>
      </c>
      <c r="D1280" s="4" t="s">
        <v>0</v>
      </c>
      <c r="E1280" s="4" t="s">
        <v>12</v>
      </c>
      <c r="F1280" s="2" t="s">
        <v>0</v>
      </c>
      <c r="G1280" s="2" t="str">
        <f>"02"</f>
        <v>02</v>
      </c>
      <c r="H1280" s="3">
        <v>552</v>
      </c>
    </row>
    <row r="1281" spans="1:8" ht="29.25" x14ac:dyDescent="0.25">
      <c r="A1281" s="2" t="str">
        <f>"00030410"</f>
        <v>00030410</v>
      </c>
      <c r="B1281" s="2" t="str">
        <f t="shared" si="58"/>
        <v>SG</v>
      </c>
      <c r="C1281" s="4" t="s">
        <v>810</v>
      </c>
      <c r="D1281" s="4" t="s">
        <v>0</v>
      </c>
      <c r="E1281" s="4" t="s">
        <v>12</v>
      </c>
      <c r="F1281" s="2" t="s">
        <v>0</v>
      </c>
      <c r="G1281" s="2" t="str">
        <f>"07"</f>
        <v>07</v>
      </c>
      <c r="H1281" s="3">
        <v>1233</v>
      </c>
    </row>
    <row r="1282" spans="1:8" ht="29.25" x14ac:dyDescent="0.25">
      <c r="A1282" s="2" t="str">
        <f>"00030420"</f>
        <v>00030420</v>
      </c>
      <c r="B1282" s="2" t="str">
        <f t="shared" si="58"/>
        <v>SG</v>
      </c>
      <c r="C1282" s="4" t="s">
        <v>810</v>
      </c>
      <c r="D1282" s="4" t="s">
        <v>0</v>
      </c>
      <c r="E1282" s="4" t="s">
        <v>12</v>
      </c>
      <c r="F1282" s="2" t="s">
        <v>0</v>
      </c>
      <c r="G1282" s="2" t="str">
        <f>"07"</f>
        <v>07</v>
      </c>
      <c r="H1282" s="3">
        <v>1233</v>
      </c>
    </row>
    <row r="1283" spans="1:8" x14ac:dyDescent="0.25">
      <c r="A1283" s="2" t="str">
        <f>"00030430"</f>
        <v>00030430</v>
      </c>
      <c r="B1283" s="2" t="str">
        <f t="shared" si="58"/>
        <v>SG</v>
      </c>
      <c r="C1283" s="4" t="s">
        <v>802</v>
      </c>
      <c r="D1283" s="4" t="s">
        <v>0</v>
      </c>
      <c r="E1283" s="4" t="s">
        <v>12</v>
      </c>
      <c r="F1283" s="2" t="s">
        <v>0</v>
      </c>
      <c r="G1283" s="2" t="str">
        <f>"02"</f>
        <v>02</v>
      </c>
      <c r="H1283" s="3">
        <v>552</v>
      </c>
    </row>
    <row r="1284" spans="1:8" x14ac:dyDescent="0.25">
      <c r="A1284" s="2" t="str">
        <f>"00030435"</f>
        <v>00030435</v>
      </c>
      <c r="B1284" s="2" t="str">
        <f t="shared" si="58"/>
        <v>SG</v>
      </c>
      <c r="C1284" s="4" t="s">
        <v>802</v>
      </c>
      <c r="D1284" s="4" t="s">
        <v>0</v>
      </c>
      <c r="E1284" s="4" t="s">
        <v>12</v>
      </c>
      <c r="F1284" s="2" t="s">
        <v>0</v>
      </c>
      <c r="G1284" s="2" t="str">
        <f>"07"</f>
        <v>07</v>
      </c>
      <c r="H1284" s="3">
        <v>1233</v>
      </c>
    </row>
    <row r="1285" spans="1:8" x14ac:dyDescent="0.25">
      <c r="A1285" s="2" t="str">
        <f>"00030450"</f>
        <v>00030450</v>
      </c>
      <c r="B1285" s="2" t="str">
        <f t="shared" si="58"/>
        <v>SG</v>
      </c>
      <c r="C1285" s="4" t="s">
        <v>802</v>
      </c>
      <c r="D1285" s="4" t="s">
        <v>0</v>
      </c>
      <c r="E1285" s="4" t="s">
        <v>12</v>
      </c>
      <c r="F1285" s="2" t="s">
        <v>0</v>
      </c>
      <c r="G1285" s="2" t="str">
        <f>"07"</f>
        <v>07</v>
      </c>
      <c r="H1285" s="3">
        <v>1233</v>
      </c>
    </row>
    <row r="1286" spans="1:8" x14ac:dyDescent="0.25">
      <c r="A1286" s="2" t="str">
        <f>"00030460"</f>
        <v>00030460</v>
      </c>
      <c r="B1286" s="2" t="str">
        <f t="shared" si="58"/>
        <v>SG</v>
      </c>
      <c r="C1286" s="4" t="s">
        <v>802</v>
      </c>
      <c r="D1286" s="4" t="s">
        <v>0</v>
      </c>
      <c r="E1286" s="4" t="s">
        <v>12</v>
      </c>
      <c r="F1286" s="2" t="s">
        <v>0</v>
      </c>
      <c r="G1286" s="2" t="str">
        <f>"07"</f>
        <v>07</v>
      </c>
      <c r="H1286" s="3">
        <v>1233</v>
      </c>
    </row>
    <row r="1287" spans="1:8" x14ac:dyDescent="0.25">
      <c r="A1287" s="2" t="str">
        <f>"00030462"</f>
        <v>00030462</v>
      </c>
      <c r="B1287" s="2" t="str">
        <f t="shared" si="58"/>
        <v>SG</v>
      </c>
      <c r="C1287" s="4" t="s">
        <v>802</v>
      </c>
      <c r="D1287" s="4" t="s">
        <v>0</v>
      </c>
      <c r="E1287" s="4" t="s">
        <v>12</v>
      </c>
      <c r="F1287" s="2" t="s">
        <v>0</v>
      </c>
      <c r="G1287" s="2" t="str">
        <f>"07"</f>
        <v>07</v>
      </c>
      <c r="H1287" s="3">
        <v>1233</v>
      </c>
    </row>
    <row r="1288" spans="1:8" x14ac:dyDescent="0.25">
      <c r="A1288" s="2" t="str">
        <f>"00030465"</f>
        <v>00030465</v>
      </c>
      <c r="B1288" s="2" t="str">
        <f t="shared" si="58"/>
        <v>SG</v>
      </c>
      <c r="C1288" s="4" t="s">
        <v>811</v>
      </c>
      <c r="D1288" s="4" t="s">
        <v>101</v>
      </c>
      <c r="E1288" s="4" t="s">
        <v>12</v>
      </c>
      <c r="F1288" s="2" t="s">
        <v>0</v>
      </c>
      <c r="G1288" s="2" t="str">
        <f>"07"</f>
        <v>07</v>
      </c>
      <c r="H1288" s="3">
        <v>1233</v>
      </c>
    </row>
    <row r="1289" spans="1:8" x14ac:dyDescent="0.25">
      <c r="A1289" s="2" t="str">
        <f>"00030520"</f>
        <v>00030520</v>
      </c>
      <c r="B1289" s="2" t="str">
        <f t="shared" si="58"/>
        <v>SG</v>
      </c>
      <c r="C1289" s="4" t="s">
        <v>812</v>
      </c>
      <c r="D1289" s="4" t="s">
        <v>101</v>
      </c>
      <c r="E1289" s="4" t="s">
        <v>12</v>
      </c>
      <c r="F1289" s="2" t="s">
        <v>0</v>
      </c>
      <c r="G1289" s="2" t="str">
        <f>"02"</f>
        <v>02</v>
      </c>
      <c r="H1289" s="3">
        <v>552</v>
      </c>
    </row>
    <row r="1290" spans="1:8" x14ac:dyDescent="0.25">
      <c r="A1290" s="2" t="str">
        <f>"00030540"</f>
        <v>00030540</v>
      </c>
      <c r="B1290" s="2" t="str">
        <f t="shared" si="58"/>
        <v>SG</v>
      </c>
      <c r="C1290" s="4" t="s">
        <v>813</v>
      </c>
      <c r="D1290" s="4" t="s">
        <v>0</v>
      </c>
      <c r="E1290" s="4" t="s">
        <v>12</v>
      </c>
      <c r="F1290" s="2" t="s">
        <v>0</v>
      </c>
      <c r="G1290" s="2" t="str">
        <f>"07"</f>
        <v>07</v>
      </c>
      <c r="H1290" s="3">
        <v>1233</v>
      </c>
    </row>
    <row r="1291" spans="1:8" x14ac:dyDescent="0.25">
      <c r="A1291" s="2" t="str">
        <f>"00030545"</f>
        <v>00030545</v>
      </c>
      <c r="B1291" s="2" t="str">
        <f t="shared" si="58"/>
        <v>SG</v>
      </c>
      <c r="C1291" s="4" t="s">
        <v>813</v>
      </c>
      <c r="D1291" s="4" t="s">
        <v>0</v>
      </c>
      <c r="E1291" s="4" t="s">
        <v>12</v>
      </c>
      <c r="F1291" s="2" t="s">
        <v>0</v>
      </c>
      <c r="G1291" s="2" t="str">
        <f>"07"</f>
        <v>07</v>
      </c>
      <c r="H1291" s="3">
        <v>1233</v>
      </c>
    </row>
    <row r="1292" spans="1:8" ht="29.25" x14ac:dyDescent="0.25">
      <c r="A1292" s="2" t="str">
        <f>"00030560"</f>
        <v>00030560</v>
      </c>
      <c r="B1292" s="2" t="str">
        <f t="shared" si="58"/>
        <v>SG</v>
      </c>
      <c r="C1292" s="4" t="s">
        <v>814</v>
      </c>
      <c r="D1292" s="4" t="s">
        <v>0</v>
      </c>
      <c r="E1292" s="4" t="s">
        <v>12</v>
      </c>
      <c r="F1292" s="2" t="s">
        <v>0</v>
      </c>
      <c r="G1292" s="2" t="str">
        <f>"02"</f>
        <v>02</v>
      </c>
      <c r="H1292" s="3">
        <v>552</v>
      </c>
    </row>
    <row r="1293" spans="1:8" ht="29.25" x14ac:dyDescent="0.25">
      <c r="A1293" s="2" t="str">
        <f>"00030580"</f>
        <v>00030580</v>
      </c>
      <c r="B1293" s="2" t="str">
        <f t="shared" ref="B1293:B1356" si="61">"SG"</f>
        <v>SG</v>
      </c>
      <c r="C1293" s="4" t="s">
        <v>815</v>
      </c>
      <c r="D1293" s="4" t="s">
        <v>0</v>
      </c>
      <c r="E1293" s="4" t="s">
        <v>12</v>
      </c>
      <c r="F1293" s="2" t="s">
        <v>0</v>
      </c>
      <c r="G1293" s="2" t="str">
        <f>"07"</f>
        <v>07</v>
      </c>
      <c r="H1293" s="3">
        <v>1233</v>
      </c>
    </row>
    <row r="1294" spans="1:8" ht="29.25" x14ac:dyDescent="0.25">
      <c r="A1294" s="2" t="str">
        <f>"00030600"</f>
        <v>00030600</v>
      </c>
      <c r="B1294" s="2" t="str">
        <f t="shared" si="61"/>
        <v>SG</v>
      </c>
      <c r="C1294" s="4" t="s">
        <v>816</v>
      </c>
      <c r="D1294" s="4" t="s">
        <v>0</v>
      </c>
      <c r="E1294" s="4" t="s">
        <v>12</v>
      </c>
      <c r="F1294" s="2" t="s">
        <v>0</v>
      </c>
      <c r="G1294" s="2" t="str">
        <f>"07"</f>
        <v>07</v>
      </c>
      <c r="H1294" s="3">
        <v>1233</v>
      </c>
    </row>
    <row r="1295" spans="1:8" ht="29.25" x14ac:dyDescent="0.25">
      <c r="A1295" s="2" t="str">
        <f>"00030620"</f>
        <v>00030620</v>
      </c>
      <c r="B1295" s="2" t="str">
        <f t="shared" si="61"/>
        <v>SG</v>
      </c>
      <c r="C1295" s="4" t="s">
        <v>817</v>
      </c>
      <c r="D1295" s="4" t="s">
        <v>0</v>
      </c>
      <c r="E1295" s="4" t="s">
        <v>12</v>
      </c>
      <c r="F1295" s="2" t="s">
        <v>0</v>
      </c>
      <c r="G1295" s="2" t="str">
        <f>"07"</f>
        <v>07</v>
      </c>
      <c r="H1295" s="3">
        <v>1233</v>
      </c>
    </row>
    <row r="1296" spans="1:8" ht="29.25" x14ac:dyDescent="0.25">
      <c r="A1296" s="2" t="str">
        <f>"00030630"</f>
        <v>00030630</v>
      </c>
      <c r="B1296" s="2" t="str">
        <f t="shared" si="61"/>
        <v>SG</v>
      </c>
      <c r="C1296" s="4" t="s">
        <v>818</v>
      </c>
      <c r="D1296" s="4" t="s">
        <v>0</v>
      </c>
      <c r="E1296" s="4" t="s">
        <v>12</v>
      </c>
      <c r="F1296" s="2" t="s">
        <v>0</v>
      </c>
      <c r="G1296" s="2" t="str">
        <f>"02"</f>
        <v>02</v>
      </c>
      <c r="H1296" s="3">
        <v>552</v>
      </c>
    </row>
    <row r="1297" spans="1:8" ht="29.25" x14ac:dyDescent="0.25">
      <c r="A1297" s="2" t="str">
        <f>"00030801"</f>
        <v>00030801</v>
      </c>
      <c r="B1297" s="2" t="str">
        <f t="shared" si="61"/>
        <v>SG</v>
      </c>
      <c r="C1297" s="4" t="s">
        <v>819</v>
      </c>
      <c r="D1297" s="4" t="s">
        <v>0</v>
      </c>
      <c r="E1297" s="4" t="s">
        <v>12</v>
      </c>
      <c r="F1297" s="2" t="s">
        <v>0</v>
      </c>
      <c r="G1297" s="2" t="str">
        <f>"01"</f>
        <v>01</v>
      </c>
      <c r="H1297" s="3">
        <v>413</v>
      </c>
    </row>
    <row r="1298" spans="1:8" ht="29.25" x14ac:dyDescent="0.25">
      <c r="A1298" s="2" t="str">
        <f>"00030802"</f>
        <v>00030802</v>
      </c>
      <c r="B1298" s="2" t="str">
        <f t="shared" si="61"/>
        <v>SG</v>
      </c>
      <c r="C1298" s="4" t="s">
        <v>820</v>
      </c>
      <c r="D1298" s="4" t="s">
        <v>0</v>
      </c>
      <c r="E1298" s="4" t="s">
        <v>12</v>
      </c>
      <c r="F1298" s="2" t="s">
        <v>0</v>
      </c>
      <c r="G1298" s="2" t="str">
        <f>"01"</f>
        <v>01</v>
      </c>
      <c r="H1298" s="3">
        <v>413</v>
      </c>
    </row>
    <row r="1299" spans="1:8" x14ac:dyDescent="0.25">
      <c r="A1299" s="2" t="str">
        <f>"00030903"</f>
        <v>00030903</v>
      </c>
      <c r="B1299" s="2" t="str">
        <f t="shared" si="61"/>
        <v>SG</v>
      </c>
      <c r="C1299" s="4" t="s">
        <v>821</v>
      </c>
      <c r="D1299" s="4" t="s">
        <v>0</v>
      </c>
      <c r="E1299" s="4" t="s">
        <v>12</v>
      </c>
      <c r="F1299" s="2" t="s">
        <v>0</v>
      </c>
      <c r="G1299" s="2" t="str">
        <f>"01"</f>
        <v>01</v>
      </c>
      <c r="H1299" s="3">
        <v>413</v>
      </c>
    </row>
    <row r="1300" spans="1:8" x14ac:dyDescent="0.25">
      <c r="A1300" s="2" t="str">
        <f>"00030905"</f>
        <v>00030905</v>
      </c>
      <c r="B1300" s="2" t="str">
        <f t="shared" si="61"/>
        <v>SG</v>
      </c>
      <c r="C1300" s="4" t="s">
        <v>821</v>
      </c>
      <c r="D1300" s="4" t="s">
        <v>0</v>
      </c>
      <c r="E1300" s="4" t="s">
        <v>12</v>
      </c>
      <c r="F1300" s="2" t="s">
        <v>0</v>
      </c>
      <c r="G1300" s="2" t="str">
        <f>"01"</f>
        <v>01</v>
      </c>
      <c r="H1300" s="3">
        <v>413</v>
      </c>
    </row>
    <row r="1301" spans="1:8" ht="29.25" x14ac:dyDescent="0.25">
      <c r="A1301" s="2" t="str">
        <f>"00030906"</f>
        <v>00030906</v>
      </c>
      <c r="B1301" s="2" t="str">
        <f t="shared" si="61"/>
        <v>SG</v>
      </c>
      <c r="C1301" s="4" t="s">
        <v>822</v>
      </c>
      <c r="D1301" s="4" t="s">
        <v>0</v>
      </c>
      <c r="E1301" s="4" t="s">
        <v>12</v>
      </c>
      <c r="F1301" s="2" t="s">
        <v>0</v>
      </c>
      <c r="G1301" s="2" t="str">
        <f>"01"</f>
        <v>01</v>
      </c>
      <c r="H1301" s="3">
        <v>413</v>
      </c>
    </row>
    <row r="1302" spans="1:8" ht="29.25" x14ac:dyDescent="0.25">
      <c r="A1302" s="2" t="str">
        <f>"00030915"</f>
        <v>00030915</v>
      </c>
      <c r="B1302" s="2" t="str">
        <f t="shared" si="61"/>
        <v>SG</v>
      </c>
      <c r="C1302" s="4" t="s">
        <v>823</v>
      </c>
      <c r="D1302" s="4" t="s">
        <v>0</v>
      </c>
      <c r="E1302" s="4" t="s">
        <v>12</v>
      </c>
      <c r="F1302" s="2" t="s">
        <v>0</v>
      </c>
      <c r="G1302" s="2" t="str">
        <f>"03"</f>
        <v>03</v>
      </c>
      <c r="H1302" s="3">
        <v>637</v>
      </c>
    </row>
    <row r="1303" spans="1:8" ht="29.25" x14ac:dyDescent="0.25">
      <c r="A1303" s="2" t="str">
        <f>"00030920"</f>
        <v>00030920</v>
      </c>
      <c r="B1303" s="2" t="str">
        <f t="shared" si="61"/>
        <v>SG</v>
      </c>
      <c r="C1303" s="4" t="s">
        <v>824</v>
      </c>
      <c r="D1303" s="4" t="s">
        <v>0</v>
      </c>
      <c r="E1303" s="4" t="s">
        <v>12</v>
      </c>
      <c r="F1303" s="2" t="s">
        <v>0</v>
      </c>
      <c r="G1303" s="2" t="str">
        <f>"03"</f>
        <v>03</v>
      </c>
      <c r="H1303" s="3">
        <v>637</v>
      </c>
    </row>
    <row r="1304" spans="1:8" ht="29.25" x14ac:dyDescent="0.25">
      <c r="A1304" s="2" t="str">
        <f>"00030930"</f>
        <v>00030930</v>
      </c>
      <c r="B1304" s="2" t="str">
        <f t="shared" si="61"/>
        <v>SG</v>
      </c>
      <c r="C1304" s="4" t="s">
        <v>825</v>
      </c>
      <c r="D1304" s="4" t="s">
        <v>0</v>
      </c>
      <c r="E1304" s="4" t="s">
        <v>12</v>
      </c>
      <c r="F1304" s="2" t="s">
        <v>0</v>
      </c>
      <c r="G1304" s="2" t="str">
        <f>"02"</f>
        <v>02</v>
      </c>
      <c r="H1304" s="3">
        <v>552</v>
      </c>
    </row>
    <row r="1305" spans="1:8" ht="29.25" x14ac:dyDescent="0.25">
      <c r="A1305" s="2" t="str">
        <f>"00031020"</f>
        <v>00031020</v>
      </c>
      <c r="B1305" s="2" t="str">
        <f t="shared" si="61"/>
        <v>SG</v>
      </c>
      <c r="C1305" s="4" t="s">
        <v>826</v>
      </c>
      <c r="D1305" s="4" t="s">
        <v>0</v>
      </c>
      <c r="E1305" s="4" t="s">
        <v>12</v>
      </c>
      <c r="F1305" s="2" t="s">
        <v>0</v>
      </c>
      <c r="G1305" s="2" t="str">
        <f>"03"</f>
        <v>03</v>
      </c>
      <c r="H1305" s="3">
        <v>637</v>
      </c>
    </row>
    <row r="1306" spans="1:8" ht="29.25" x14ac:dyDescent="0.25">
      <c r="A1306" s="2" t="str">
        <f>"00031030"</f>
        <v>00031030</v>
      </c>
      <c r="B1306" s="2" t="str">
        <f t="shared" si="61"/>
        <v>SG</v>
      </c>
      <c r="C1306" s="4" t="s">
        <v>826</v>
      </c>
      <c r="D1306" s="4" t="s">
        <v>0</v>
      </c>
      <c r="E1306" s="4" t="s">
        <v>12</v>
      </c>
      <c r="F1306" s="2" t="s">
        <v>0</v>
      </c>
      <c r="G1306" s="2" t="str">
        <f t="shared" ref="G1306:G1319" si="62">"07"</f>
        <v>07</v>
      </c>
      <c r="H1306" s="3">
        <v>1233</v>
      </c>
    </row>
    <row r="1307" spans="1:8" ht="29.25" x14ac:dyDescent="0.25">
      <c r="A1307" s="2" t="str">
        <f>"00031032"</f>
        <v>00031032</v>
      </c>
      <c r="B1307" s="2" t="str">
        <f t="shared" si="61"/>
        <v>SG</v>
      </c>
      <c r="C1307" s="4" t="s">
        <v>827</v>
      </c>
      <c r="D1307" s="4" t="s">
        <v>0</v>
      </c>
      <c r="E1307" s="4" t="s">
        <v>12</v>
      </c>
      <c r="F1307" s="2" t="s">
        <v>0</v>
      </c>
      <c r="G1307" s="2" t="str">
        <f t="shared" si="62"/>
        <v>07</v>
      </c>
      <c r="H1307" s="3">
        <v>1233</v>
      </c>
    </row>
    <row r="1308" spans="1:8" ht="29.25" x14ac:dyDescent="0.25">
      <c r="A1308" s="2" t="str">
        <f>"00031050"</f>
        <v>00031050</v>
      </c>
      <c r="B1308" s="2" t="str">
        <f t="shared" si="61"/>
        <v>SG</v>
      </c>
      <c r="C1308" s="4" t="s">
        <v>828</v>
      </c>
      <c r="D1308" s="4" t="s">
        <v>0</v>
      </c>
      <c r="E1308" s="4" t="s">
        <v>12</v>
      </c>
      <c r="F1308" s="2" t="s">
        <v>0</v>
      </c>
      <c r="G1308" s="2" t="str">
        <f t="shared" si="62"/>
        <v>07</v>
      </c>
      <c r="H1308" s="3">
        <v>1233</v>
      </c>
    </row>
    <row r="1309" spans="1:8" x14ac:dyDescent="0.25">
      <c r="A1309" s="2" t="str">
        <f>"00031051"</f>
        <v>00031051</v>
      </c>
      <c r="B1309" s="2" t="str">
        <f t="shared" si="61"/>
        <v>SG</v>
      </c>
      <c r="C1309" s="4" t="s">
        <v>829</v>
      </c>
      <c r="D1309" s="4" t="s">
        <v>0</v>
      </c>
      <c r="E1309" s="4" t="s">
        <v>12</v>
      </c>
      <c r="F1309" s="2" t="s">
        <v>0</v>
      </c>
      <c r="G1309" s="2" t="str">
        <f t="shared" si="62"/>
        <v>07</v>
      </c>
      <c r="H1309" s="3">
        <v>1233</v>
      </c>
    </row>
    <row r="1310" spans="1:8" ht="29.25" x14ac:dyDescent="0.25">
      <c r="A1310" s="2" t="str">
        <f>"00031070"</f>
        <v>00031070</v>
      </c>
      <c r="B1310" s="2" t="str">
        <f t="shared" si="61"/>
        <v>SG</v>
      </c>
      <c r="C1310" s="4" t="s">
        <v>830</v>
      </c>
      <c r="D1310" s="4" t="s">
        <v>0</v>
      </c>
      <c r="E1310" s="4" t="s">
        <v>12</v>
      </c>
      <c r="F1310" s="2" t="s">
        <v>0</v>
      </c>
      <c r="G1310" s="2" t="str">
        <f t="shared" si="62"/>
        <v>07</v>
      </c>
      <c r="H1310" s="3">
        <v>1233</v>
      </c>
    </row>
    <row r="1311" spans="1:8" ht="29.25" x14ac:dyDescent="0.25">
      <c r="A1311" s="2" t="str">
        <f>"00031075"</f>
        <v>00031075</v>
      </c>
      <c r="B1311" s="2" t="str">
        <f t="shared" si="61"/>
        <v>SG</v>
      </c>
      <c r="C1311" s="4" t="s">
        <v>830</v>
      </c>
      <c r="D1311" s="4" t="s">
        <v>0</v>
      </c>
      <c r="E1311" s="4" t="s">
        <v>12</v>
      </c>
      <c r="F1311" s="2" t="s">
        <v>0</v>
      </c>
      <c r="G1311" s="2" t="str">
        <f t="shared" si="62"/>
        <v>07</v>
      </c>
      <c r="H1311" s="3">
        <v>1233</v>
      </c>
    </row>
    <row r="1312" spans="1:8" ht="29.25" x14ac:dyDescent="0.25">
      <c r="A1312" s="2" t="str">
        <f>"00031080"</f>
        <v>00031080</v>
      </c>
      <c r="B1312" s="2" t="str">
        <f t="shared" si="61"/>
        <v>SG</v>
      </c>
      <c r="C1312" s="4" t="s">
        <v>831</v>
      </c>
      <c r="D1312" s="4" t="s">
        <v>0</v>
      </c>
      <c r="E1312" s="4" t="s">
        <v>12</v>
      </c>
      <c r="F1312" s="2" t="s">
        <v>0</v>
      </c>
      <c r="G1312" s="2" t="str">
        <f t="shared" si="62"/>
        <v>07</v>
      </c>
      <c r="H1312" s="3">
        <v>1233</v>
      </c>
    </row>
    <row r="1313" spans="1:8" ht="29.25" x14ac:dyDescent="0.25">
      <c r="A1313" s="2" t="str">
        <f>"00031081"</f>
        <v>00031081</v>
      </c>
      <c r="B1313" s="2" t="str">
        <f t="shared" si="61"/>
        <v>SG</v>
      </c>
      <c r="C1313" s="4" t="s">
        <v>831</v>
      </c>
      <c r="D1313" s="4" t="s">
        <v>0</v>
      </c>
      <c r="E1313" s="4" t="s">
        <v>12</v>
      </c>
      <c r="F1313" s="2" t="s">
        <v>0</v>
      </c>
      <c r="G1313" s="2" t="str">
        <f t="shared" si="62"/>
        <v>07</v>
      </c>
      <c r="H1313" s="3">
        <v>1233</v>
      </c>
    </row>
    <row r="1314" spans="1:8" ht="29.25" x14ac:dyDescent="0.25">
      <c r="A1314" s="2" t="str">
        <f>"00031084"</f>
        <v>00031084</v>
      </c>
      <c r="B1314" s="2" t="str">
        <f t="shared" si="61"/>
        <v>SG</v>
      </c>
      <c r="C1314" s="4" t="s">
        <v>831</v>
      </c>
      <c r="D1314" s="4" t="s">
        <v>0</v>
      </c>
      <c r="E1314" s="4" t="s">
        <v>12</v>
      </c>
      <c r="F1314" s="2" t="s">
        <v>0</v>
      </c>
      <c r="G1314" s="2" t="str">
        <f t="shared" si="62"/>
        <v>07</v>
      </c>
      <c r="H1314" s="3">
        <v>1233</v>
      </c>
    </row>
    <row r="1315" spans="1:8" ht="29.25" x14ac:dyDescent="0.25">
      <c r="A1315" s="2" t="str">
        <f>"00031085"</f>
        <v>00031085</v>
      </c>
      <c r="B1315" s="2" t="str">
        <f t="shared" si="61"/>
        <v>SG</v>
      </c>
      <c r="C1315" s="4" t="s">
        <v>831</v>
      </c>
      <c r="D1315" s="4" t="s">
        <v>0</v>
      </c>
      <c r="E1315" s="4" t="s">
        <v>12</v>
      </c>
      <c r="F1315" s="2" t="s">
        <v>0</v>
      </c>
      <c r="G1315" s="2" t="str">
        <f t="shared" si="62"/>
        <v>07</v>
      </c>
      <c r="H1315" s="3">
        <v>1233</v>
      </c>
    </row>
    <row r="1316" spans="1:8" ht="29.25" x14ac:dyDescent="0.25">
      <c r="A1316" s="2" t="str">
        <f>"00031086"</f>
        <v>00031086</v>
      </c>
      <c r="B1316" s="2" t="str">
        <f t="shared" si="61"/>
        <v>SG</v>
      </c>
      <c r="C1316" s="4" t="s">
        <v>831</v>
      </c>
      <c r="D1316" s="4" t="s">
        <v>0</v>
      </c>
      <c r="E1316" s="4" t="s">
        <v>12</v>
      </c>
      <c r="F1316" s="2" t="s">
        <v>0</v>
      </c>
      <c r="G1316" s="2" t="str">
        <f t="shared" si="62"/>
        <v>07</v>
      </c>
      <c r="H1316" s="3">
        <v>1233</v>
      </c>
    </row>
    <row r="1317" spans="1:8" ht="29.25" x14ac:dyDescent="0.25">
      <c r="A1317" s="2" t="str">
        <f>"00031087"</f>
        <v>00031087</v>
      </c>
      <c r="B1317" s="2" t="str">
        <f t="shared" si="61"/>
        <v>SG</v>
      </c>
      <c r="C1317" s="4" t="s">
        <v>831</v>
      </c>
      <c r="D1317" s="4" t="s">
        <v>0</v>
      </c>
      <c r="E1317" s="4" t="s">
        <v>12</v>
      </c>
      <c r="F1317" s="2" t="s">
        <v>0</v>
      </c>
      <c r="G1317" s="2" t="str">
        <f t="shared" si="62"/>
        <v>07</v>
      </c>
      <c r="H1317" s="3">
        <v>1233</v>
      </c>
    </row>
    <row r="1318" spans="1:8" x14ac:dyDescent="0.25">
      <c r="A1318" s="2" t="str">
        <f>"00031090"</f>
        <v>00031090</v>
      </c>
      <c r="B1318" s="2" t="str">
        <f t="shared" si="61"/>
        <v>SG</v>
      </c>
      <c r="C1318" s="4" t="s">
        <v>832</v>
      </c>
      <c r="D1318" s="4" t="s">
        <v>0</v>
      </c>
      <c r="E1318" s="4" t="s">
        <v>12</v>
      </c>
      <c r="F1318" s="2" t="s">
        <v>0</v>
      </c>
      <c r="G1318" s="2" t="str">
        <f t="shared" si="62"/>
        <v>07</v>
      </c>
      <c r="H1318" s="3">
        <v>1233</v>
      </c>
    </row>
    <row r="1319" spans="1:8" ht="29.25" x14ac:dyDescent="0.25">
      <c r="A1319" s="2" t="str">
        <f>"00031200"</f>
        <v>00031200</v>
      </c>
      <c r="B1319" s="2" t="str">
        <f t="shared" si="61"/>
        <v>SG</v>
      </c>
      <c r="C1319" s="4" t="s">
        <v>833</v>
      </c>
      <c r="D1319" s="4" t="s">
        <v>0</v>
      </c>
      <c r="E1319" s="4" t="s">
        <v>12</v>
      </c>
      <c r="F1319" s="2" t="s">
        <v>0</v>
      </c>
      <c r="G1319" s="2" t="str">
        <f t="shared" si="62"/>
        <v>07</v>
      </c>
      <c r="H1319" s="3">
        <v>1233</v>
      </c>
    </row>
    <row r="1320" spans="1:8" ht="29.25" x14ac:dyDescent="0.25">
      <c r="A1320" s="2" t="str">
        <f>"00031201"</f>
        <v>00031201</v>
      </c>
      <c r="B1320" s="2" t="str">
        <f t="shared" si="61"/>
        <v>SG</v>
      </c>
      <c r="C1320" s="4" t="s">
        <v>833</v>
      </c>
      <c r="D1320" s="4" t="s">
        <v>0</v>
      </c>
      <c r="E1320" s="4" t="s">
        <v>12</v>
      </c>
      <c r="F1320" s="2" t="s">
        <v>0</v>
      </c>
      <c r="G1320" s="2" t="str">
        <f>"03"</f>
        <v>03</v>
      </c>
      <c r="H1320" s="3">
        <v>637</v>
      </c>
    </row>
    <row r="1321" spans="1:8" ht="29.25" x14ac:dyDescent="0.25">
      <c r="A1321" s="2" t="str">
        <f>"00031205"</f>
        <v>00031205</v>
      </c>
      <c r="B1321" s="2" t="str">
        <f t="shared" si="61"/>
        <v>SG</v>
      </c>
      <c r="C1321" s="4" t="s">
        <v>833</v>
      </c>
      <c r="D1321" s="4" t="s">
        <v>0</v>
      </c>
      <c r="E1321" s="4" t="s">
        <v>12</v>
      </c>
      <c r="F1321" s="2" t="s">
        <v>0</v>
      </c>
      <c r="G1321" s="2" t="str">
        <f>"03"</f>
        <v>03</v>
      </c>
      <c r="H1321" s="3">
        <v>637</v>
      </c>
    </row>
    <row r="1322" spans="1:8" ht="29.25" x14ac:dyDescent="0.25">
      <c r="A1322" s="2" t="str">
        <f>"00031233"</f>
        <v>00031233</v>
      </c>
      <c r="B1322" s="2" t="str">
        <f t="shared" si="61"/>
        <v>SG</v>
      </c>
      <c r="C1322" s="4" t="s">
        <v>834</v>
      </c>
      <c r="D1322" s="4" t="s">
        <v>0</v>
      </c>
      <c r="E1322" s="4" t="s">
        <v>12</v>
      </c>
      <c r="F1322" s="2" t="s">
        <v>0</v>
      </c>
      <c r="G1322" s="2" t="str">
        <f>"01"</f>
        <v>01</v>
      </c>
      <c r="H1322" s="3">
        <v>413</v>
      </c>
    </row>
    <row r="1323" spans="1:8" ht="29.25" x14ac:dyDescent="0.25">
      <c r="A1323" s="2" t="str">
        <f>"00031235"</f>
        <v>00031235</v>
      </c>
      <c r="B1323" s="2" t="str">
        <f t="shared" si="61"/>
        <v>SG</v>
      </c>
      <c r="C1323" s="4" t="s">
        <v>834</v>
      </c>
      <c r="D1323" s="4" t="s">
        <v>0</v>
      </c>
      <c r="E1323" s="4" t="s">
        <v>12</v>
      </c>
      <c r="F1323" s="2" t="s">
        <v>0</v>
      </c>
      <c r="G1323" s="2" t="str">
        <f>"01"</f>
        <v>01</v>
      </c>
      <c r="H1323" s="3">
        <v>413</v>
      </c>
    </row>
    <row r="1324" spans="1:8" ht="29.25" x14ac:dyDescent="0.25">
      <c r="A1324" s="2" t="str">
        <f>"00031237"</f>
        <v>00031237</v>
      </c>
      <c r="B1324" s="2" t="str">
        <f t="shared" si="61"/>
        <v>SG</v>
      </c>
      <c r="C1324" s="4" t="s">
        <v>835</v>
      </c>
      <c r="D1324" s="4" t="s">
        <v>0</v>
      </c>
      <c r="E1324" s="4" t="s">
        <v>12</v>
      </c>
      <c r="F1324" s="2" t="s">
        <v>0</v>
      </c>
      <c r="G1324" s="2" t="str">
        <f>"01"</f>
        <v>01</v>
      </c>
      <c r="H1324" s="3">
        <v>413</v>
      </c>
    </row>
    <row r="1325" spans="1:8" ht="29.25" x14ac:dyDescent="0.25">
      <c r="A1325" s="2" t="str">
        <f>"00031238"</f>
        <v>00031238</v>
      </c>
      <c r="B1325" s="2" t="str">
        <f t="shared" si="61"/>
        <v>SG</v>
      </c>
      <c r="C1325" s="4" t="s">
        <v>835</v>
      </c>
      <c r="D1325" s="4" t="s">
        <v>0</v>
      </c>
      <c r="E1325" s="4" t="s">
        <v>12</v>
      </c>
      <c r="F1325" s="2" t="s">
        <v>0</v>
      </c>
      <c r="G1325" s="2" t="str">
        <f>"01"</f>
        <v>01</v>
      </c>
      <c r="H1325" s="3">
        <v>413</v>
      </c>
    </row>
    <row r="1326" spans="1:8" ht="29.25" x14ac:dyDescent="0.25">
      <c r="A1326" s="2" t="str">
        <f>"00031239"</f>
        <v>00031239</v>
      </c>
      <c r="B1326" s="2" t="str">
        <f t="shared" si="61"/>
        <v>SG</v>
      </c>
      <c r="C1326" s="4" t="s">
        <v>835</v>
      </c>
      <c r="D1326" s="4" t="s">
        <v>0</v>
      </c>
      <c r="E1326" s="4" t="s">
        <v>12</v>
      </c>
      <c r="F1326" s="2" t="s">
        <v>0</v>
      </c>
      <c r="G1326" s="2" t="str">
        <f>"03"</f>
        <v>03</v>
      </c>
      <c r="H1326" s="3">
        <v>637</v>
      </c>
    </row>
    <row r="1327" spans="1:8" ht="29.25" x14ac:dyDescent="0.25">
      <c r="A1327" s="2" t="str">
        <f>"00031240"</f>
        <v>00031240</v>
      </c>
      <c r="B1327" s="2" t="str">
        <f t="shared" si="61"/>
        <v>SG</v>
      </c>
      <c r="C1327" s="4" t="s">
        <v>835</v>
      </c>
      <c r="D1327" s="4" t="s">
        <v>0</v>
      </c>
      <c r="E1327" s="4" t="s">
        <v>12</v>
      </c>
      <c r="F1327" s="2" t="s">
        <v>0</v>
      </c>
      <c r="G1327" s="2" t="str">
        <f>"03"</f>
        <v>03</v>
      </c>
      <c r="H1327" s="3">
        <v>637</v>
      </c>
    </row>
    <row r="1328" spans="1:8" ht="72" x14ac:dyDescent="0.25">
      <c r="A1328" s="2" t="str">
        <f>"00031253"</f>
        <v>00031253</v>
      </c>
      <c r="B1328" s="2" t="str">
        <f t="shared" si="61"/>
        <v>SG</v>
      </c>
      <c r="C1328" s="4" t="s">
        <v>836</v>
      </c>
      <c r="D1328" s="4" t="s">
        <v>0</v>
      </c>
      <c r="E1328" s="4" t="s">
        <v>12</v>
      </c>
      <c r="F1328" s="2" t="s">
        <v>0</v>
      </c>
      <c r="G1328" s="2" t="str">
        <f>"07"</f>
        <v>07</v>
      </c>
      <c r="H1328" s="3">
        <v>1233</v>
      </c>
    </row>
    <row r="1329" spans="1:8" ht="29.25" x14ac:dyDescent="0.25">
      <c r="A1329" s="2" t="str">
        <f>"00031254"</f>
        <v>00031254</v>
      </c>
      <c r="B1329" s="2" t="str">
        <f t="shared" si="61"/>
        <v>SG</v>
      </c>
      <c r="C1329" s="4" t="s">
        <v>837</v>
      </c>
      <c r="D1329" s="4" t="s">
        <v>0</v>
      </c>
      <c r="E1329" s="4" t="s">
        <v>12</v>
      </c>
      <c r="F1329" s="2" t="s">
        <v>0</v>
      </c>
      <c r="G1329" s="2" t="str">
        <f>"03"</f>
        <v>03</v>
      </c>
      <c r="H1329" s="3">
        <v>637</v>
      </c>
    </row>
    <row r="1330" spans="1:8" ht="29.25" x14ac:dyDescent="0.25">
      <c r="A1330" s="2" t="str">
        <f>"00031255"</f>
        <v>00031255</v>
      </c>
      <c r="B1330" s="2" t="str">
        <f t="shared" si="61"/>
        <v>SG</v>
      </c>
      <c r="C1330" s="4" t="s">
        <v>833</v>
      </c>
      <c r="D1330" s="4" t="s">
        <v>0</v>
      </c>
      <c r="E1330" s="4" t="s">
        <v>12</v>
      </c>
      <c r="F1330" s="2" t="s">
        <v>0</v>
      </c>
      <c r="G1330" s="2" t="str">
        <f>"06"</f>
        <v>06</v>
      </c>
      <c r="H1330" s="3">
        <v>1000</v>
      </c>
    </row>
    <row r="1331" spans="1:8" ht="29.25" x14ac:dyDescent="0.25">
      <c r="A1331" s="2" t="str">
        <f>"00031256"</f>
        <v>00031256</v>
      </c>
      <c r="B1331" s="2" t="str">
        <f t="shared" si="61"/>
        <v>SG</v>
      </c>
      <c r="C1331" s="4" t="s">
        <v>838</v>
      </c>
      <c r="D1331" s="4" t="s">
        <v>0</v>
      </c>
      <c r="E1331" s="4" t="s">
        <v>12</v>
      </c>
      <c r="F1331" s="2" t="s">
        <v>0</v>
      </c>
      <c r="G1331" s="2" t="str">
        <f>"03"</f>
        <v>03</v>
      </c>
      <c r="H1331" s="3">
        <v>637</v>
      </c>
    </row>
    <row r="1332" spans="1:8" ht="57.75" x14ac:dyDescent="0.25">
      <c r="A1332" s="2" t="str">
        <f>"00031257"</f>
        <v>00031257</v>
      </c>
      <c r="B1332" s="2" t="str">
        <f t="shared" si="61"/>
        <v>SG</v>
      </c>
      <c r="C1332" s="4" t="s">
        <v>839</v>
      </c>
      <c r="D1332" s="4" t="s">
        <v>0</v>
      </c>
      <c r="E1332" s="4" t="s">
        <v>12</v>
      </c>
      <c r="F1332" s="2" t="s">
        <v>0</v>
      </c>
      <c r="G1332" s="2" t="str">
        <f>"07"</f>
        <v>07</v>
      </c>
      <c r="H1332" s="3">
        <v>1233</v>
      </c>
    </row>
    <row r="1333" spans="1:8" ht="86.25" x14ac:dyDescent="0.25">
      <c r="A1333" s="2" t="str">
        <f>"00031259"</f>
        <v>00031259</v>
      </c>
      <c r="B1333" s="2" t="str">
        <f t="shared" si="61"/>
        <v>SG</v>
      </c>
      <c r="C1333" s="4" t="s">
        <v>840</v>
      </c>
      <c r="D1333" s="4" t="s">
        <v>0</v>
      </c>
      <c r="E1333" s="4" t="s">
        <v>12</v>
      </c>
      <c r="F1333" s="2" t="s">
        <v>0</v>
      </c>
      <c r="G1333" s="2" t="str">
        <f>"07"</f>
        <v>07</v>
      </c>
      <c r="H1333" s="3">
        <v>1233</v>
      </c>
    </row>
    <row r="1334" spans="1:8" ht="29.25" x14ac:dyDescent="0.25">
      <c r="A1334" s="2" t="str">
        <f>"00031267"</f>
        <v>00031267</v>
      </c>
      <c r="B1334" s="2" t="str">
        <f t="shared" si="61"/>
        <v>SG</v>
      </c>
      <c r="C1334" s="4" t="s">
        <v>841</v>
      </c>
      <c r="D1334" s="4" t="s">
        <v>0</v>
      </c>
      <c r="E1334" s="4" t="s">
        <v>12</v>
      </c>
      <c r="F1334" s="2" t="s">
        <v>0</v>
      </c>
      <c r="G1334" s="2" t="str">
        <f>"03"</f>
        <v>03</v>
      </c>
      <c r="H1334" s="3">
        <v>637</v>
      </c>
    </row>
    <row r="1335" spans="1:8" ht="29.25" x14ac:dyDescent="0.25">
      <c r="A1335" s="2" t="str">
        <f>"00031276"</f>
        <v>00031276</v>
      </c>
      <c r="B1335" s="2" t="str">
        <f t="shared" si="61"/>
        <v>SG</v>
      </c>
      <c r="C1335" s="4" t="s">
        <v>842</v>
      </c>
      <c r="D1335" s="4" t="s">
        <v>0</v>
      </c>
      <c r="E1335" s="4" t="s">
        <v>12</v>
      </c>
      <c r="F1335" s="2" t="s">
        <v>0</v>
      </c>
      <c r="G1335" s="2" t="str">
        <f>"06"</f>
        <v>06</v>
      </c>
      <c r="H1335" s="3">
        <v>1000</v>
      </c>
    </row>
    <row r="1336" spans="1:8" ht="29.25" x14ac:dyDescent="0.25">
      <c r="A1336" s="2" t="str">
        <f>"00031287"</f>
        <v>00031287</v>
      </c>
      <c r="B1336" s="2" t="str">
        <f t="shared" si="61"/>
        <v>SG</v>
      </c>
      <c r="C1336" s="4" t="s">
        <v>835</v>
      </c>
      <c r="D1336" s="4" t="s">
        <v>0</v>
      </c>
      <c r="E1336" s="4" t="s">
        <v>12</v>
      </c>
      <c r="F1336" s="2" t="s">
        <v>0</v>
      </c>
      <c r="G1336" s="2" t="str">
        <f>"06"</f>
        <v>06</v>
      </c>
      <c r="H1336" s="3">
        <v>1000</v>
      </c>
    </row>
    <row r="1337" spans="1:8" ht="29.25" x14ac:dyDescent="0.25">
      <c r="A1337" s="2" t="str">
        <f>"00031288"</f>
        <v>00031288</v>
      </c>
      <c r="B1337" s="2" t="str">
        <f t="shared" si="61"/>
        <v>SG</v>
      </c>
      <c r="C1337" s="4" t="s">
        <v>835</v>
      </c>
      <c r="D1337" s="4" t="s">
        <v>0</v>
      </c>
      <c r="E1337" s="4" t="s">
        <v>12</v>
      </c>
      <c r="F1337" s="2" t="s">
        <v>0</v>
      </c>
      <c r="G1337" s="2" t="str">
        <f>"06"</f>
        <v>06</v>
      </c>
      <c r="H1337" s="3">
        <v>1000</v>
      </c>
    </row>
    <row r="1338" spans="1:8" ht="29.25" x14ac:dyDescent="0.25">
      <c r="A1338" s="2" t="str">
        <f>"00031300"</f>
        <v>00031300</v>
      </c>
      <c r="B1338" s="2" t="str">
        <f t="shared" si="61"/>
        <v>SG</v>
      </c>
      <c r="C1338" s="4" t="s">
        <v>843</v>
      </c>
      <c r="D1338" s="4" t="s">
        <v>0</v>
      </c>
      <c r="E1338" s="4" t="s">
        <v>12</v>
      </c>
      <c r="F1338" s="2" t="s">
        <v>0</v>
      </c>
      <c r="G1338" s="2" t="str">
        <f>"02"</f>
        <v>02</v>
      </c>
      <c r="H1338" s="3">
        <v>552</v>
      </c>
    </row>
    <row r="1339" spans="1:8" x14ac:dyDescent="0.25">
      <c r="A1339" s="2" t="str">
        <f>"00031400"</f>
        <v>00031400</v>
      </c>
      <c r="B1339" s="2" t="str">
        <f t="shared" si="61"/>
        <v>SG</v>
      </c>
      <c r="C1339" s="4" t="s">
        <v>844</v>
      </c>
      <c r="D1339" s="4" t="s">
        <v>0</v>
      </c>
      <c r="E1339" s="4" t="s">
        <v>12</v>
      </c>
      <c r="F1339" s="2" t="s">
        <v>0</v>
      </c>
      <c r="G1339" s="2" t="str">
        <f>"07"</f>
        <v>07</v>
      </c>
      <c r="H1339" s="3">
        <v>1233</v>
      </c>
    </row>
    <row r="1340" spans="1:8" x14ac:dyDescent="0.25">
      <c r="A1340" s="2" t="str">
        <f>"00031420"</f>
        <v>00031420</v>
      </c>
      <c r="B1340" s="2" t="str">
        <f t="shared" si="61"/>
        <v>SG</v>
      </c>
      <c r="C1340" s="4" t="s">
        <v>845</v>
      </c>
      <c r="D1340" s="4" t="s">
        <v>0</v>
      </c>
      <c r="E1340" s="4" t="s">
        <v>12</v>
      </c>
      <c r="F1340" s="2" t="s">
        <v>0</v>
      </c>
      <c r="G1340" s="2" t="str">
        <f>"07"</f>
        <v>07</v>
      </c>
      <c r="H1340" s="3">
        <v>1233</v>
      </c>
    </row>
    <row r="1341" spans="1:8" ht="29.25" x14ac:dyDescent="0.25">
      <c r="A1341" s="2" t="str">
        <f>"00031510"</f>
        <v>00031510</v>
      </c>
      <c r="B1341" s="2" t="str">
        <f t="shared" si="61"/>
        <v>SG</v>
      </c>
      <c r="C1341" s="4" t="s">
        <v>846</v>
      </c>
      <c r="D1341" s="4" t="s">
        <v>0</v>
      </c>
      <c r="E1341" s="4" t="s">
        <v>12</v>
      </c>
      <c r="F1341" s="2" t="s">
        <v>0</v>
      </c>
      <c r="G1341" s="2" t="str">
        <f>"01"</f>
        <v>01</v>
      </c>
      <c r="H1341" s="3">
        <v>413</v>
      </c>
    </row>
    <row r="1342" spans="1:8" ht="29.25" x14ac:dyDescent="0.25">
      <c r="A1342" s="2" t="str">
        <f>"00031511"</f>
        <v>00031511</v>
      </c>
      <c r="B1342" s="2" t="str">
        <f t="shared" si="61"/>
        <v>SG</v>
      </c>
      <c r="C1342" s="4" t="s">
        <v>847</v>
      </c>
      <c r="D1342" s="4" t="s">
        <v>0</v>
      </c>
      <c r="E1342" s="4" t="s">
        <v>12</v>
      </c>
      <c r="F1342" s="2" t="s">
        <v>0</v>
      </c>
      <c r="G1342" s="2" t="str">
        <f>"01"</f>
        <v>01</v>
      </c>
      <c r="H1342" s="3">
        <v>413</v>
      </c>
    </row>
    <row r="1343" spans="1:8" ht="29.25" x14ac:dyDescent="0.25">
      <c r="A1343" s="2" t="str">
        <f>"00031512"</f>
        <v>00031512</v>
      </c>
      <c r="B1343" s="2" t="str">
        <f t="shared" si="61"/>
        <v>SG</v>
      </c>
      <c r="C1343" s="4" t="s">
        <v>843</v>
      </c>
      <c r="D1343" s="4" t="s">
        <v>0</v>
      </c>
      <c r="E1343" s="4" t="s">
        <v>12</v>
      </c>
      <c r="F1343" s="2" t="s">
        <v>0</v>
      </c>
      <c r="G1343" s="2" t="str">
        <f>"03"</f>
        <v>03</v>
      </c>
      <c r="H1343" s="3">
        <v>637</v>
      </c>
    </row>
    <row r="1344" spans="1:8" ht="29.25" x14ac:dyDescent="0.25">
      <c r="A1344" s="2" t="str">
        <f>"00031513"</f>
        <v>00031513</v>
      </c>
      <c r="B1344" s="2" t="str">
        <f t="shared" si="61"/>
        <v>SG</v>
      </c>
      <c r="C1344" s="4" t="s">
        <v>848</v>
      </c>
      <c r="D1344" s="4" t="s">
        <v>0</v>
      </c>
      <c r="E1344" s="4" t="s">
        <v>12</v>
      </c>
      <c r="F1344" s="2" t="s">
        <v>0</v>
      </c>
      <c r="G1344" s="2" t="str">
        <f>"01"</f>
        <v>01</v>
      </c>
      <c r="H1344" s="3">
        <v>413</v>
      </c>
    </row>
    <row r="1345" spans="1:8" ht="29.25" x14ac:dyDescent="0.25">
      <c r="A1345" s="2" t="str">
        <f>"00031515"</f>
        <v>00031515</v>
      </c>
      <c r="B1345" s="2" t="str">
        <f t="shared" si="61"/>
        <v>SG</v>
      </c>
      <c r="C1345" s="4" t="s">
        <v>849</v>
      </c>
      <c r="D1345" s="4" t="s">
        <v>0</v>
      </c>
      <c r="E1345" s="4" t="s">
        <v>12</v>
      </c>
      <c r="F1345" s="2" t="s">
        <v>0</v>
      </c>
      <c r="G1345" s="2" t="str">
        <f>"01"</f>
        <v>01</v>
      </c>
      <c r="H1345" s="3">
        <v>413</v>
      </c>
    </row>
    <row r="1346" spans="1:8" ht="29.25" x14ac:dyDescent="0.25">
      <c r="A1346" s="2" t="str">
        <f>"00031525"</f>
        <v>00031525</v>
      </c>
      <c r="B1346" s="2" t="str">
        <f t="shared" si="61"/>
        <v>SG</v>
      </c>
      <c r="C1346" s="4" t="s">
        <v>850</v>
      </c>
      <c r="D1346" s="4" t="s">
        <v>0</v>
      </c>
      <c r="E1346" s="4" t="s">
        <v>12</v>
      </c>
      <c r="F1346" s="2" t="s">
        <v>0</v>
      </c>
      <c r="G1346" s="2" t="str">
        <f>"01"</f>
        <v>01</v>
      </c>
      <c r="H1346" s="3">
        <v>413</v>
      </c>
    </row>
    <row r="1347" spans="1:8" ht="29.25" x14ac:dyDescent="0.25">
      <c r="A1347" s="2" t="str">
        <f>"00031526"</f>
        <v>00031526</v>
      </c>
      <c r="B1347" s="2" t="str">
        <f t="shared" si="61"/>
        <v>SG</v>
      </c>
      <c r="C1347" s="4" t="s">
        <v>851</v>
      </c>
      <c r="D1347" s="4" t="s">
        <v>0</v>
      </c>
      <c r="E1347" s="4" t="s">
        <v>12</v>
      </c>
      <c r="F1347" s="2" t="s">
        <v>0</v>
      </c>
      <c r="G1347" s="2" t="str">
        <f>"01"</f>
        <v>01</v>
      </c>
      <c r="H1347" s="3">
        <v>413</v>
      </c>
    </row>
    <row r="1348" spans="1:8" ht="29.25" x14ac:dyDescent="0.25">
      <c r="A1348" s="2" t="str">
        <f>"00031527"</f>
        <v>00031527</v>
      </c>
      <c r="B1348" s="2" t="str">
        <f t="shared" si="61"/>
        <v>SG</v>
      </c>
      <c r="C1348" s="4" t="s">
        <v>852</v>
      </c>
      <c r="D1348" s="4" t="s">
        <v>0</v>
      </c>
      <c r="E1348" s="4" t="s">
        <v>12</v>
      </c>
      <c r="F1348" s="2" t="s">
        <v>0</v>
      </c>
      <c r="G1348" s="2" t="str">
        <f>"03"</f>
        <v>03</v>
      </c>
      <c r="H1348" s="3">
        <v>637</v>
      </c>
    </row>
    <row r="1349" spans="1:8" ht="29.25" x14ac:dyDescent="0.25">
      <c r="A1349" s="2" t="str">
        <f>"00031528"</f>
        <v>00031528</v>
      </c>
      <c r="B1349" s="2" t="str">
        <f t="shared" si="61"/>
        <v>SG</v>
      </c>
      <c r="C1349" s="4" t="s">
        <v>853</v>
      </c>
      <c r="D1349" s="4" t="s">
        <v>0</v>
      </c>
      <c r="E1349" s="4" t="s">
        <v>12</v>
      </c>
      <c r="F1349" s="2" t="s">
        <v>0</v>
      </c>
      <c r="G1349" s="2" t="str">
        <f>"03"</f>
        <v>03</v>
      </c>
      <c r="H1349" s="3">
        <v>637</v>
      </c>
    </row>
    <row r="1350" spans="1:8" ht="29.25" x14ac:dyDescent="0.25">
      <c r="A1350" s="2" t="str">
        <f>"00031529"</f>
        <v>00031529</v>
      </c>
      <c r="B1350" s="2" t="str">
        <f t="shared" si="61"/>
        <v>SG</v>
      </c>
      <c r="C1350" s="4" t="s">
        <v>853</v>
      </c>
      <c r="D1350" s="4" t="s">
        <v>0</v>
      </c>
      <c r="E1350" s="4" t="s">
        <v>12</v>
      </c>
      <c r="F1350" s="2" t="s">
        <v>0</v>
      </c>
      <c r="G1350" s="2" t="str">
        <f>"03"</f>
        <v>03</v>
      </c>
      <c r="H1350" s="3">
        <v>637</v>
      </c>
    </row>
    <row r="1351" spans="1:8" ht="29.25" x14ac:dyDescent="0.25">
      <c r="A1351" s="2" t="str">
        <f>"00031530"</f>
        <v>00031530</v>
      </c>
      <c r="B1351" s="2" t="str">
        <f t="shared" si="61"/>
        <v>SG</v>
      </c>
      <c r="C1351" s="4" t="s">
        <v>854</v>
      </c>
      <c r="D1351" s="4" t="s">
        <v>0</v>
      </c>
      <c r="E1351" s="4" t="s">
        <v>12</v>
      </c>
      <c r="F1351" s="2" t="s">
        <v>0</v>
      </c>
      <c r="G1351" s="2" t="str">
        <f>"01"</f>
        <v>01</v>
      </c>
      <c r="H1351" s="3">
        <v>413</v>
      </c>
    </row>
    <row r="1352" spans="1:8" ht="29.25" x14ac:dyDescent="0.25">
      <c r="A1352" s="2" t="str">
        <f>"00031531"</f>
        <v>00031531</v>
      </c>
      <c r="B1352" s="2" t="str">
        <f t="shared" si="61"/>
        <v>SG</v>
      </c>
      <c r="C1352" s="4" t="s">
        <v>855</v>
      </c>
      <c r="D1352" s="4" t="s">
        <v>0</v>
      </c>
      <c r="E1352" s="4" t="s">
        <v>12</v>
      </c>
      <c r="F1352" s="2" t="s">
        <v>0</v>
      </c>
      <c r="G1352" s="2" t="str">
        <f>"01"</f>
        <v>01</v>
      </c>
      <c r="H1352" s="3">
        <v>413</v>
      </c>
    </row>
    <row r="1353" spans="1:8" x14ac:dyDescent="0.25">
      <c r="A1353" s="2" t="str">
        <f>"00031535"</f>
        <v>00031535</v>
      </c>
      <c r="B1353" s="2" t="str">
        <f t="shared" si="61"/>
        <v>SG</v>
      </c>
      <c r="C1353" s="4" t="s">
        <v>856</v>
      </c>
      <c r="D1353" s="4" t="s">
        <v>0</v>
      </c>
      <c r="E1353" s="4" t="s">
        <v>12</v>
      </c>
      <c r="F1353" s="2" t="s">
        <v>0</v>
      </c>
      <c r="G1353" s="2" t="str">
        <f>"03"</f>
        <v>03</v>
      </c>
      <c r="H1353" s="3">
        <v>637</v>
      </c>
    </row>
    <row r="1354" spans="1:8" ht="29.25" x14ac:dyDescent="0.25">
      <c r="A1354" s="2" t="str">
        <f>"00031536"</f>
        <v>00031536</v>
      </c>
      <c r="B1354" s="2" t="str">
        <f t="shared" si="61"/>
        <v>SG</v>
      </c>
      <c r="C1354" s="4" t="s">
        <v>857</v>
      </c>
      <c r="D1354" s="4" t="s">
        <v>0</v>
      </c>
      <c r="E1354" s="4" t="s">
        <v>12</v>
      </c>
      <c r="F1354" s="2" t="s">
        <v>0</v>
      </c>
      <c r="G1354" s="2" t="str">
        <f>"03"</f>
        <v>03</v>
      </c>
      <c r="H1354" s="3">
        <v>637</v>
      </c>
    </row>
    <row r="1355" spans="1:8" ht="29.25" x14ac:dyDescent="0.25">
      <c r="A1355" s="2" t="str">
        <f>"00031540"</f>
        <v>00031540</v>
      </c>
      <c r="B1355" s="2" t="str">
        <f t="shared" si="61"/>
        <v>SG</v>
      </c>
      <c r="C1355" s="4" t="s">
        <v>858</v>
      </c>
      <c r="D1355" s="4" t="s">
        <v>0</v>
      </c>
      <c r="E1355" s="4" t="s">
        <v>12</v>
      </c>
      <c r="F1355" s="2" t="s">
        <v>0</v>
      </c>
      <c r="G1355" s="2" t="str">
        <f>"03"</f>
        <v>03</v>
      </c>
      <c r="H1355" s="3">
        <v>637</v>
      </c>
    </row>
    <row r="1356" spans="1:8" ht="29.25" x14ac:dyDescent="0.25">
      <c r="A1356" s="2" t="str">
        <f>"00031541"</f>
        <v>00031541</v>
      </c>
      <c r="B1356" s="2" t="str">
        <f t="shared" si="61"/>
        <v>SG</v>
      </c>
      <c r="C1356" s="4" t="s">
        <v>859</v>
      </c>
      <c r="D1356" s="4" t="s">
        <v>0</v>
      </c>
      <c r="E1356" s="4" t="s">
        <v>12</v>
      </c>
      <c r="F1356" s="2" t="s">
        <v>0</v>
      </c>
      <c r="G1356" s="2" t="str">
        <f>"03"</f>
        <v>03</v>
      </c>
      <c r="H1356" s="3">
        <v>637</v>
      </c>
    </row>
    <row r="1357" spans="1:8" ht="29.25" x14ac:dyDescent="0.25">
      <c r="A1357" s="2" t="str">
        <f>"00031545"</f>
        <v>00031545</v>
      </c>
      <c r="B1357" s="2" t="str">
        <f t="shared" ref="B1357:B1420" si="63">"SG"</f>
        <v>SG</v>
      </c>
      <c r="C1357" s="4" t="s">
        <v>860</v>
      </c>
      <c r="D1357" s="4" t="s">
        <v>0</v>
      </c>
      <c r="E1357" s="4" t="s">
        <v>12</v>
      </c>
      <c r="F1357" s="2" t="s">
        <v>0</v>
      </c>
      <c r="G1357" s="2" t="str">
        <f>"03"</f>
        <v>03</v>
      </c>
      <c r="H1357" s="3">
        <v>637</v>
      </c>
    </row>
    <row r="1358" spans="1:8" ht="29.25" x14ac:dyDescent="0.25">
      <c r="A1358" s="2" t="str">
        <f>"00031546"</f>
        <v>00031546</v>
      </c>
      <c r="B1358" s="2" t="str">
        <f t="shared" si="63"/>
        <v>SG</v>
      </c>
      <c r="C1358" s="4" t="s">
        <v>861</v>
      </c>
      <c r="D1358" s="4" t="s">
        <v>0</v>
      </c>
      <c r="E1358" s="4" t="s">
        <v>12</v>
      </c>
      <c r="F1358" s="2" t="s">
        <v>0</v>
      </c>
      <c r="G1358" s="2" t="str">
        <f>"06"</f>
        <v>06</v>
      </c>
      <c r="H1358" s="3">
        <v>1000</v>
      </c>
    </row>
    <row r="1359" spans="1:8" x14ac:dyDescent="0.25">
      <c r="A1359" s="2" t="str">
        <f>"00031551"</f>
        <v>00031551</v>
      </c>
      <c r="B1359" s="2" t="str">
        <f t="shared" si="63"/>
        <v>SG</v>
      </c>
      <c r="C1359" s="4" t="s">
        <v>844</v>
      </c>
      <c r="D1359" s="4" t="s">
        <v>0</v>
      </c>
      <c r="E1359" s="4" t="s">
        <v>12</v>
      </c>
      <c r="F1359" s="2" t="s">
        <v>0</v>
      </c>
      <c r="G1359" s="2" t="str">
        <f>"07"</f>
        <v>07</v>
      </c>
      <c r="H1359" s="3">
        <v>1233</v>
      </c>
    </row>
    <row r="1360" spans="1:8" x14ac:dyDescent="0.25">
      <c r="A1360" s="2" t="str">
        <f>"00031552"</f>
        <v>00031552</v>
      </c>
      <c r="B1360" s="2" t="str">
        <f t="shared" si="63"/>
        <v>SG</v>
      </c>
      <c r="C1360" s="4" t="s">
        <v>862</v>
      </c>
      <c r="D1360" s="4" t="s">
        <v>0</v>
      </c>
      <c r="E1360" s="4" t="s">
        <v>12</v>
      </c>
      <c r="F1360" s="2" t="s">
        <v>0</v>
      </c>
      <c r="G1360" s="2" t="str">
        <f>"07"</f>
        <v>07</v>
      </c>
      <c r="H1360" s="3">
        <v>1233</v>
      </c>
    </row>
    <row r="1361" spans="1:8" x14ac:dyDescent="0.25">
      <c r="A1361" s="2" t="str">
        <f>"00031553"</f>
        <v>00031553</v>
      </c>
      <c r="B1361" s="2" t="str">
        <f t="shared" si="63"/>
        <v>SG</v>
      </c>
      <c r="C1361" s="4" t="s">
        <v>862</v>
      </c>
      <c r="D1361" s="4" t="s">
        <v>0</v>
      </c>
      <c r="E1361" s="4" t="s">
        <v>12</v>
      </c>
      <c r="F1361" s="2" t="s">
        <v>0</v>
      </c>
      <c r="G1361" s="2" t="str">
        <f>"07"</f>
        <v>07</v>
      </c>
      <c r="H1361" s="3">
        <v>1233</v>
      </c>
    </row>
    <row r="1362" spans="1:8" x14ac:dyDescent="0.25">
      <c r="A1362" s="2" t="str">
        <f>"00031554"</f>
        <v>00031554</v>
      </c>
      <c r="B1362" s="2" t="str">
        <f t="shared" si="63"/>
        <v>SG</v>
      </c>
      <c r="C1362" s="4" t="s">
        <v>862</v>
      </c>
      <c r="D1362" s="4" t="s">
        <v>0</v>
      </c>
      <c r="E1362" s="4" t="s">
        <v>12</v>
      </c>
      <c r="F1362" s="2" t="s">
        <v>0</v>
      </c>
      <c r="G1362" s="2" t="str">
        <f>"07"</f>
        <v>07</v>
      </c>
      <c r="H1362" s="3">
        <v>1233</v>
      </c>
    </row>
    <row r="1363" spans="1:8" ht="29.25" x14ac:dyDescent="0.25">
      <c r="A1363" s="2" t="str">
        <f>"00031560"</f>
        <v>00031560</v>
      </c>
      <c r="B1363" s="2" t="str">
        <f t="shared" si="63"/>
        <v>SG</v>
      </c>
      <c r="C1363" s="4" t="s">
        <v>863</v>
      </c>
      <c r="D1363" s="4" t="s">
        <v>0</v>
      </c>
      <c r="E1363" s="4" t="s">
        <v>12</v>
      </c>
      <c r="F1363" s="2" t="s">
        <v>0</v>
      </c>
      <c r="G1363" s="2" t="str">
        <f>"06"</f>
        <v>06</v>
      </c>
      <c r="H1363" s="3">
        <v>1000</v>
      </c>
    </row>
    <row r="1364" spans="1:8" ht="29.25" x14ac:dyDescent="0.25">
      <c r="A1364" s="2" t="str">
        <f>"00031561"</f>
        <v>00031561</v>
      </c>
      <c r="B1364" s="2" t="str">
        <f t="shared" si="63"/>
        <v>SG</v>
      </c>
      <c r="C1364" s="4" t="s">
        <v>864</v>
      </c>
      <c r="D1364" s="4" t="s">
        <v>0</v>
      </c>
      <c r="E1364" s="4" t="s">
        <v>12</v>
      </c>
      <c r="F1364" s="2" t="s">
        <v>0</v>
      </c>
      <c r="G1364" s="2" t="str">
        <f>"03"</f>
        <v>03</v>
      </c>
      <c r="H1364" s="3">
        <v>637</v>
      </c>
    </row>
    <row r="1365" spans="1:8" x14ac:dyDescent="0.25">
      <c r="A1365" s="2" t="str">
        <f>"00031570"</f>
        <v>00031570</v>
      </c>
      <c r="B1365" s="2" t="str">
        <f t="shared" si="63"/>
        <v>SG</v>
      </c>
      <c r="C1365" s="4" t="s">
        <v>865</v>
      </c>
      <c r="D1365" s="4" t="s">
        <v>0</v>
      </c>
      <c r="E1365" s="4" t="s">
        <v>12</v>
      </c>
      <c r="F1365" s="2" t="s">
        <v>0</v>
      </c>
      <c r="G1365" s="2" t="str">
        <f>"01"</f>
        <v>01</v>
      </c>
      <c r="H1365" s="3">
        <v>413</v>
      </c>
    </row>
    <row r="1366" spans="1:8" ht="29.25" x14ac:dyDescent="0.25">
      <c r="A1366" s="2" t="str">
        <f>"00031571"</f>
        <v>00031571</v>
      </c>
      <c r="B1366" s="2" t="str">
        <f t="shared" si="63"/>
        <v>SG</v>
      </c>
      <c r="C1366" s="4" t="s">
        <v>866</v>
      </c>
      <c r="D1366" s="4" t="s">
        <v>0</v>
      </c>
      <c r="E1366" s="4" t="s">
        <v>12</v>
      </c>
      <c r="F1366" s="2" t="s">
        <v>0</v>
      </c>
      <c r="G1366" s="2" t="str">
        <f>"03"</f>
        <v>03</v>
      </c>
      <c r="H1366" s="3">
        <v>637</v>
      </c>
    </row>
    <row r="1367" spans="1:8" ht="29.25" x14ac:dyDescent="0.25">
      <c r="A1367" s="2" t="str">
        <f>"00031576"</f>
        <v>00031576</v>
      </c>
      <c r="B1367" s="2" t="str">
        <f t="shared" si="63"/>
        <v>SG</v>
      </c>
      <c r="C1367" s="4" t="s">
        <v>846</v>
      </c>
      <c r="D1367" s="4" t="s">
        <v>0</v>
      </c>
      <c r="E1367" s="4" t="s">
        <v>12</v>
      </c>
      <c r="F1367" s="2" t="s">
        <v>0</v>
      </c>
      <c r="G1367" s="2" t="str">
        <f>"01"</f>
        <v>01</v>
      </c>
      <c r="H1367" s="3">
        <v>413</v>
      </c>
    </row>
    <row r="1368" spans="1:8" ht="29.25" x14ac:dyDescent="0.25">
      <c r="A1368" s="2" t="str">
        <f>"00031577"</f>
        <v>00031577</v>
      </c>
      <c r="B1368" s="2" t="str">
        <f t="shared" si="63"/>
        <v>SG</v>
      </c>
      <c r="C1368" s="4" t="s">
        <v>847</v>
      </c>
      <c r="D1368" s="4" t="s">
        <v>0</v>
      </c>
      <c r="E1368" s="4" t="s">
        <v>12</v>
      </c>
      <c r="F1368" s="2" t="s">
        <v>0</v>
      </c>
      <c r="G1368" s="2" t="str">
        <f>"02"</f>
        <v>02</v>
      </c>
      <c r="H1368" s="3">
        <v>552</v>
      </c>
    </row>
    <row r="1369" spans="1:8" ht="29.25" x14ac:dyDescent="0.25">
      <c r="A1369" s="2" t="str">
        <f>"00031578"</f>
        <v>00031578</v>
      </c>
      <c r="B1369" s="2" t="str">
        <f t="shared" si="63"/>
        <v>SG</v>
      </c>
      <c r="C1369" s="4" t="s">
        <v>843</v>
      </c>
      <c r="D1369" s="4" t="s">
        <v>0</v>
      </c>
      <c r="E1369" s="4" t="s">
        <v>12</v>
      </c>
      <c r="F1369" s="2" t="s">
        <v>0</v>
      </c>
      <c r="G1369" s="2" t="str">
        <f>"01"</f>
        <v>01</v>
      </c>
      <c r="H1369" s="3">
        <v>413</v>
      </c>
    </row>
    <row r="1370" spans="1:8" x14ac:dyDescent="0.25">
      <c r="A1370" s="2" t="str">
        <f>"00031580"</f>
        <v>00031580</v>
      </c>
      <c r="B1370" s="2" t="str">
        <f t="shared" si="63"/>
        <v>SG</v>
      </c>
      <c r="C1370" s="4" t="s">
        <v>844</v>
      </c>
      <c r="D1370" s="4" t="s">
        <v>0</v>
      </c>
      <c r="E1370" s="4" t="s">
        <v>12</v>
      </c>
      <c r="F1370" s="2" t="s">
        <v>0</v>
      </c>
      <c r="G1370" s="2" t="str">
        <f>"07"</f>
        <v>07</v>
      </c>
      <c r="H1370" s="3">
        <v>1233</v>
      </c>
    </row>
    <row r="1371" spans="1:8" ht="29.25" x14ac:dyDescent="0.25">
      <c r="A1371" s="2" t="str">
        <f>"00031584"</f>
        <v>00031584</v>
      </c>
      <c r="B1371" s="2" t="str">
        <f t="shared" si="63"/>
        <v>SG</v>
      </c>
      <c r="C1371" s="4" t="s">
        <v>867</v>
      </c>
      <c r="D1371" s="4" t="s">
        <v>0</v>
      </c>
      <c r="E1371" s="4" t="s">
        <v>12</v>
      </c>
      <c r="F1371" s="2" t="s">
        <v>0</v>
      </c>
      <c r="G1371" s="2" t="str">
        <f>"01"</f>
        <v>01</v>
      </c>
      <c r="H1371" s="3">
        <v>413</v>
      </c>
    </row>
    <row r="1372" spans="1:8" x14ac:dyDescent="0.25">
      <c r="A1372" s="2" t="str">
        <f>"00031590"</f>
        <v>00031590</v>
      </c>
      <c r="B1372" s="2" t="str">
        <f t="shared" si="63"/>
        <v>SG</v>
      </c>
      <c r="C1372" s="4" t="s">
        <v>868</v>
      </c>
      <c r="D1372" s="4" t="s">
        <v>0</v>
      </c>
      <c r="E1372" s="4" t="s">
        <v>12</v>
      </c>
      <c r="F1372" s="2" t="s">
        <v>0</v>
      </c>
      <c r="G1372" s="2" t="str">
        <f>"07"</f>
        <v>07</v>
      </c>
      <c r="H1372" s="3">
        <v>1233</v>
      </c>
    </row>
    <row r="1373" spans="1:8" x14ac:dyDescent="0.25">
      <c r="A1373" s="2" t="str">
        <f>"00031603"</f>
        <v>00031603</v>
      </c>
      <c r="B1373" s="2" t="str">
        <f t="shared" si="63"/>
        <v>SG</v>
      </c>
      <c r="C1373" s="4" t="s">
        <v>869</v>
      </c>
      <c r="D1373" s="4" t="s">
        <v>0</v>
      </c>
      <c r="E1373" s="4" t="s">
        <v>12</v>
      </c>
      <c r="F1373" s="2" t="s">
        <v>0</v>
      </c>
      <c r="G1373" s="2" t="str">
        <f>"01"</f>
        <v>01</v>
      </c>
      <c r="H1373" s="3">
        <v>413</v>
      </c>
    </row>
    <row r="1374" spans="1:8" ht="29.25" x14ac:dyDescent="0.25">
      <c r="A1374" s="2" t="str">
        <f>"00031611"</f>
        <v>00031611</v>
      </c>
      <c r="B1374" s="2" t="str">
        <f t="shared" si="63"/>
        <v>SG</v>
      </c>
      <c r="C1374" s="4" t="s">
        <v>870</v>
      </c>
      <c r="D1374" s="4" t="s">
        <v>0</v>
      </c>
      <c r="E1374" s="4" t="s">
        <v>12</v>
      </c>
      <c r="F1374" s="2" t="s">
        <v>0</v>
      </c>
      <c r="G1374" s="2" t="str">
        <f>"02"</f>
        <v>02</v>
      </c>
      <c r="H1374" s="3">
        <v>552</v>
      </c>
    </row>
    <row r="1375" spans="1:8" ht="29.25" x14ac:dyDescent="0.25">
      <c r="A1375" s="2" t="str">
        <f>"00031612"</f>
        <v>00031612</v>
      </c>
      <c r="B1375" s="2" t="str">
        <f t="shared" si="63"/>
        <v>SG</v>
      </c>
      <c r="C1375" s="4" t="s">
        <v>871</v>
      </c>
      <c r="D1375" s="4" t="s">
        <v>0</v>
      </c>
      <c r="E1375" s="4" t="s">
        <v>12</v>
      </c>
      <c r="F1375" s="2" t="s">
        <v>0</v>
      </c>
      <c r="G1375" s="2" t="str">
        <f>"07"</f>
        <v>07</v>
      </c>
      <c r="H1375" s="3">
        <v>1233</v>
      </c>
    </row>
    <row r="1376" spans="1:8" x14ac:dyDescent="0.25">
      <c r="A1376" s="2" t="str">
        <f>"00031613"</f>
        <v>00031613</v>
      </c>
      <c r="B1376" s="2" t="str">
        <f t="shared" si="63"/>
        <v>SG</v>
      </c>
      <c r="C1376" s="4" t="s">
        <v>872</v>
      </c>
      <c r="D1376" s="4" t="s">
        <v>0</v>
      </c>
      <c r="E1376" s="4" t="s">
        <v>12</v>
      </c>
      <c r="F1376" s="2" t="s">
        <v>0</v>
      </c>
      <c r="G1376" s="2" t="str">
        <f>"02"</f>
        <v>02</v>
      </c>
      <c r="H1376" s="3">
        <v>552</v>
      </c>
    </row>
    <row r="1377" spans="1:8" x14ac:dyDescent="0.25">
      <c r="A1377" s="2" t="str">
        <f>"00031614"</f>
        <v>00031614</v>
      </c>
      <c r="B1377" s="2" t="str">
        <f t="shared" si="63"/>
        <v>SG</v>
      </c>
      <c r="C1377" s="4" t="s">
        <v>872</v>
      </c>
      <c r="D1377" s="4" t="s">
        <v>0</v>
      </c>
      <c r="E1377" s="4" t="s">
        <v>12</v>
      </c>
      <c r="F1377" s="2" t="s">
        <v>0</v>
      </c>
      <c r="G1377" s="2" t="str">
        <f>"07"</f>
        <v>07</v>
      </c>
      <c r="H1377" s="3">
        <v>1233</v>
      </c>
    </row>
    <row r="1378" spans="1:8" ht="29.25" x14ac:dyDescent="0.25">
      <c r="A1378" s="2" t="str">
        <f>"00031615"</f>
        <v>00031615</v>
      </c>
      <c r="B1378" s="2" t="str">
        <f t="shared" si="63"/>
        <v>SG</v>
      </c>
      <c r="C1378" s="4" t="s">
        <v>873</v>
      </c>
      <c r="D1378" s="4" t="s">
        <v>0</v>
      </c>
      <c r="E1378" s="4" t="s">
        <v>12</v>
      </c>
      <c r="F1378" s="2" t="s">
        <v>0</v>
      </c>
      <c r="G1378" s="2" t="str">
        <f t="shared" ref="G1378:G1383" si="64">"01"</f>
        <v>01</v>
      </c>
      <c r="H1378" s="3">
        <v>413</v>
      </c>
    </row>
    <row r="1379" spans="1:8" x14ac:dyDescent="0.25">
      <c r="A1379" s="2" t="str">
        <f>"00031622"</f>
        <v>00031622</v>
      </c>
      <c r="B1379" s="2" t="str">
        <f t="shared" si="63"/>
        <v>SG</v>
      </c>
      <c r="C1379" s="4" t="s">
        <v>874</v>
      </c>
      <c r="D1379" s="4" t="s">
        <v>0</v>
      </c>
      <c r="E1379" s="4" t="s">
        <v>12</v>
      </c>
      <c r="F1379" s="2" t="s">
        <v>0</v>
      </c>
      <c r="G1379" s="2" t="str">
        <f t="shared" si="64"/>
        <v>01</v>
      </c>
      <c r="H1379" s="3">
        <v>413</v>
      </c>
    </row>
    <row r="1380" spans="1:8" ht="29.25" x14ac:dyDescent="0.25">
      <c r="A1380" s="2" t="str">
        <f>"00031623"</f>
        <v>00031623</v>
      </c>
      <c r="B1380" s="2" t="str">
        <f t="shared" si="63"/>
        <v>SG</v>
      </c>
      <c r="C1380" s="4" t="s">
        <v>875</v>
      </c>
      <c r="D1380" s="4" t="s">
        <v>0</v>
      </c>
      <c r="E1380" s="4" t="s">
        <v>12</v>
      </c>
      <c r="F1380" s="2" t="s">
        <v>0</v>
      </c>
      <c r="G1380" s="2" t="str">
        <f t="shared" si="64"/>
        <v>01</v>
      </c>
      <c r="H1380" s="3">
        <v>413</v>
      </c>
    </row>
    <row r="1381" spans="1:8" ht="29.25" x14ac:dyDescent="0.25">
      <c r="A1381" s="2" t="str">
        <f>"00031624"</f>
        <v>00031624</v>
      </c>
      <c r="B1381" s="2" t="str">
        <f t="shared" si="63"/>
        <v>SG</v>
      </c>
      <c r="C1381" s="4" t="s">
        <v>876</v>
      </c>
      <c r="D1381" s="4" t="s">
        <v>0</v>
      </c>
      <c r="E1381" s="4" t="s">
        <v>12</v>
      </c>
      <c r="F1381" s="2" t="s">
        <v>0</v>
      </c>
      <c r="G1381" s="2" t="str">
        <f t="shared" si="64"/>
        <v>01</v>
      </c>
      <c r="H1381" s="3">
        <v>413</v>
      </c>
    </row>
    <row r="1382" spans="1:8" ht="29.25" x14ac:dyDescent="0.25">
      <c r="A1382" s="2" t="str">
        <f>"00031625"</f>
        <v>00031625</v>
      </c>
      <c r="B1382" s="2" t="str">
        <f t="shared" si="63"/>
        <v>SG</v>
      </c>
      <c r="C1382" s="4" t="s">
        <v>877</v>
      </c>
      <c r="D1382" s="4" t="s">
        <v>0</v>
      </c>
      <c r="E1382" s="4" t="s">
        <v>12</v>
      </c>
      <c r="F1382" s="2" t="s">
        <v>0</v>
      </c>
      <c r="G1382" s="2" t="str">
        <f t="shared" si="64"/>
        <v>01</v>
      </c>
      <c r="H1382" s="3">
        <v>413</v>
      </c>
    </row>
    <row r="1383" spans="1:8" ht="29.25" x14ac:dyDescent="0.25">
      <c r="A1383" s="2" t="str">
        <f>"00031628"</f>
        <v>00031628</v>
      </c>
      <c r="B1383" s="2" t="str">
        <f t="shared" si="63"/>
        <v>SG</v>
      </c>
      <c r="C1383" s="4" t="s">
        <v>878</v>
      </c>
      <c r="D1383" s="4" t="s">
        <v>0</v>
      </c>
      <c r="E1383" s="4" t="s">
        <v>12</v>
      </c>
      <c r="F1383" s="2" t="s">
        <v>0</v>
      </c>
      <c r="G1383" s="2" t="str">
        <f t="shared" si="64"/>
        <v>01</v>
      </c>
      <c r="H1383" s="3">
        <v>413</v>
      </c>
    </row>
    <row r="1384" spans="1:8" ht="29.25" x14ac:dyDescent="0.25">
      <c r="A1384" s="2" t="str">
        <f>"00031629"</f>
        <v>00031629</v>
      </c>
      <c r="B1384" s="2" t="str">
        <f t="shared" si="63"/>
        <v>SG</v>
      </c>
      <c r="C1384" s="4" t="s">
        <v>879</v>
      </c>
      <c r="D1384" s="4" t="s">
        <v>0</v>
      </c>
      <c r="E1384" s="4" t="s">
        <v>12</v>
      </c>
      <c r="F1384" s="2" t="s">
        <v>0</v>
      </c>
      <c r="G1384" s="2" t="str">
        <f>"04"</f>
        <v>04</v>
      </c>
      <c r="H1384" s="3">
        <v>785</v>
      </c>
    </row>
    <row r="1385" spans="1:8" ht="29.25" x14ac:dyDescent="0.25">
      <c r="A1385" s="2" t="str">
        <f>"00031630"</f>
        <v>00031630</v>
      </c>
      <c r="B1385" s="2" t="str">
        <f t="shared" si="63"/>
        <v>SG</v>
      </c>
      <c r="C1385" s="4" t="s">
        <v>880</v>
      </c>
      <c r="D1385" s="4" t="s">
        <v>0</v>
      </c>
      <c r="E1385" s="4" t="s">
        <v>12</v>
      </c>
      <c r="F1385" s="2" t="s">
        <v>0</v>
      </c>
      <c r="G1385" s="2" t="str">
        <f>"04"</f>
        <v>04</v>
      </c>
      <c r="H1385" s="3">
        <v>785</v>
      </c>
    </row>
    <row r="1386" spans="1:8" ht="29.25" x14ac:dyDescent="0.25">
      <c r="A1386" s="2" t="str">
        <f>"00031631"</f>
        <v>00031631</v>
      </c>
      <c r="B1386" s="2" t="str">
        <f t="shared" si="63"/>
        <v>SG</v>
      </c>
      <c r="C1386" s="4" t="s">
        <v>881</v>
      </c>
      <c r="D1386" s="4" t="s">
        <v>0</v>
      </c>
      <c r="E1386" s="4" t="s">
        <v>12</v>
      </c>
      <c r="F1386" s="2" t="s">
        <v>0</v>
      </c>
      <c r="G1386" s="2" t="str">
        <f>"04"</f>
        <v>04</v>
      </c>
      <c r="H1386" s="3">
        <v>785</v>
      </c>
    </row>
    <row r="1387" spans="1:8" ht="29.25" x14ac:dyDescent="0.25">
      <c r="A1387" s="2" t="str">
        <f>"00031635"</f>
        <v>00031635</v>
      </c>
      <c r="B1387" s="2" t="str">
        <f t="shared" si="63"/>
        <v>SG</v>
      </c>
      <c r="C1387" s="4" t="s">
        <v>882</v>
      </c>
      <c r="D1387" s="4" t="s">
        <v>0</v>
      </c>
      <c r="E1387" s="4" t="s">
        <v>12</v>
      </c>
      <c r="F1387" s="2" t="s">
        <v>0</v>
      </c>
      <c r="G1387" s="2" t="str">
        <f>"01"</f>
        <v>01</v>
      </c>
      <c r="H1387" s="3">
        <v>413</v>
      </c>
    </row>
    <row r="1388" spans="1:8" ht="29.25" x14ac:dyDescent="0.25">
      <c r="A1388" s="2" t="str">
        <f>"00031636"</f>
        <v>00031636</v>
      </c>
      <c r="B1388" s="2" t="str">
        <f t="shared" si="63"/>
        <v>SG</v>
      </c>
      <c r="C1388" s="4" t="s">
        <v>883</v>
      </c>
      <c r="D1388" s="4" t="s">
        <v>0</v>
      </c>
      <c r="E1388" s="4" t="s">
        <v>12</v>
      </c>
      <c r="F1388" s="2" t="s">
        <v>0</v>
      </c>
      <c r="G1388" s="2" t="str">
        <f>"04"</f>
        <v>04</v>
      </c>
      <c r="H1388" s="3">
        <v>785</v>
      </c>
    </row>
    <row r="1389" spans="1:8" ht="29.25" x14ac:dyDescent="0.25">
      <c r="A1389" s="2" t="str">
        <f>"00031637"</f>
        <v>00031637</v>
      </c>
      <c r="B1389" s="2" t="str">
        <f t="shared" si="63"/>
        <v>SG</v>
      </c>
      <c r="C1389" s="4" t="s">
        <v>884</v>
      </c>
      <c r="D1389" s="4" t="s">
        <v>0</v>
      </c>
      <c r="E1389" s="4" t="s">
        <v>12</v>
      </c>
      <c r="F1389" s="2" t="s">
        <v>0</v>
      </c>
      <c r="G1389" s="2" t="str">
        <f>"01"</f>
        <v>01</v>
      </c>
      <c r="H1389" s="3">
        <v>413</v>
      </c>
    </row>
    <row r="1390" spans="1:8" ht="29.25" x14ac:dyDescent="0.25">
      <c r="A1390" s="2" t="str">
        <f>"00031638"</f>
        <v>00031638</v>
      </c>
      <c r="B1390" s="2" t="str">
        <f t="shared" si="63"/>
        <v>SG</v>
      </c>
      <c r="C1390" s="4" t="s">
        <v>885</v>
      </c>
      <c r="D1390" s="4" t="s">
        <v>0</v>
      </c>
      <c r="E1390" s="4" t="s">
        <v>12</v>
      </c>
      <c r="F1390" s="2" t="s">
        <v>0</v>
      </c>
      <c r="G1390" s="2" t="str">
        <f>"04"</f>
        <v>04</v>
      </c>
      <c r="H1390" s="3">
        <v>785</v>
      </c>
    </row>
    <row r="1391" spans="1:8" ht="29.25" x14ac:dyDescent="0.25">
      <c r="A1391" s="2" t="str">
        <f>"00031640"</f>
        <v>00031640</v>
      </c>
      <c r="B1391" s="2" t="str">
        <f t="shared" si="63"/>
        <v>SG</v>
      </c>
      <c r="C1391" s="4" t="s">
        <v>886</v>
      </c>
      <c r="D1391" s="4" t="s">
        <v>0</v>
      </c>
      <c r="E1391" s="4" t="s">
        <v>12</v>
      </c>
      <c r="F1391" s="2" t="s">
        <v>0</v>
      </c>
      <c r="G1391" s="2" t="str">
        <f>"04"</f>
        <v>04</v>
      </c>
      <c r="H1391" s="3">
        <v>785</v>
      </c>
    </row>
    <row r="1392" spans="1:8" ht="29.25" x14ac:dyDescent="0.25">
      <c r="A1392" s="2" t="str">
        <f>"00031641"</f>
        <v>00031641</v>
      </c>
      <c r="B1392" s="2" t="str">
        <f t="shared" si="63"/>
        <v>SG</v>
      </c>
      <c r="C1392" s="4" t="s">
        <v>887</v>
      </c>
      <c r="D1392" s="4" t="s">
        <v>0</v>
      </c>
      <c r="E1392" s="4" t="s">
        <v>12</v>
      </c>
      <c r="F1392" s="2" t="s">
        <v>0</v>
      </c>
      <c r="G1392" s="2" t="str">
        <f>"04"</f>
        <v>04</v>
      </c>
      <c r="H1392" s="3">
        <v>785</v>
      </c>
    </row>
    <row r="1393" spans="1:8" ht="43.5" x14ac:dyDescent="0.25">
      <c r="A1393" s="2" t="str">
        <f>"00031643"</f>
        <v>00031643</v>
      </c>
      <c r="B1393" s="2" t="str">
        <f t="shared" si="63"/>
        <v>SG</v>
      </c>
      <c r="C1393" s="4" t="s">
        <v>888</v>
      </c>
      <c r="D1393" s="4" t="s">
        <v>0</v>
      </c>
      <c r="E1393" s="4" t="s">
        <v>12</v>
      </c>
      <c r="F1393" s="2" t="s">
        <v>0</v>
      </c>
      <c r="G1393" s="2" t="str">
        <f t="shared" ref="G1393:G1398" si="65">"01"</f>
        <v>01</v>
      </c>
      <c r="H1393" s="3">
        <v>413</v>
      </c>
    </row>
    <row r="1394" spans="1:8" ht="29.25" x14ac:dyDescent="0.25">
      <c r="A1394" s="2" t="str">
        <f>"00031645"</f>
        <v>00031645</v>
      </c>
      <c r="B1394" s="2" t="str">
        <f t="shared" si="63"/>
        <v>SG</v>
      </c>
      <c r="C1394" s="4" t="s">
        <v>889</v>
      </c>
      <c r="D1394" s="4" t="s">
        <v>0</v>
      </c>
      <c r="E1394" s="4" t="s">
        <v>12</v>
      </c>
      <c r="F1394" s="2" t="s">
        <v>0</v>
      </c>
      <c r="G1394" s="2" t="str">
        <f t="shared" si="65"/>
        <v>01</v>
      </c>
      <c r="H1394" s="3">
        <v>413</v>
      </c>
    </row>
    <row r="1395" spans="1:8" ht="29.25" x14ac:dyDescent="0.25">
      <c r="A1395" s="2" t="str">
        <f>"00031646"</f>
        <v>00031646</v>
      </c>
      <c r="B1395" s="2" t="str">
        <f t="shared" si="63"/>
        <v>SG</v>
      </c>
      <c r="C1395" s="4" t="s">
        <v>890</v>
      </c>
      <c r="D1395" s="4" t="s">
        <v>0</v>
      </c>
      <c r="E1395" s="4" t="s">
        <v>12</v>
      </c>
      <c r="F1395" s="2" t="s">
        <v>0</v>
      </c>
      <c r="G1395" s="2" t="str">
        <f t="shared" si="65"/>
        <v>01</v>
      </c>
      <c r="H1395" s="3">
        <v>413</v>
      </c>
    </row>
    <row r="1396" spans="1:8" x14ac:dyDescent="0.25">
      <c r="A1396" s="2" t="str">
        <f>"00031717"</f>
        <v>00031717</v>
      </c>
      <c r="B1396" s="2" t="str">
        <f t="shared" si="63"/>
        <v>SG</v>
      </c>
      <c r="C1396" s="4" t="s">
        <v>891</v>
      </c>
      <c r="D1396" s="4" t="s">
        <v>0</v>
      </c>
      <c r="E1396" s="4" t="s">
        <v>12</v>
      </c>
      <c r="F1396" s="2" t="s">
        <v>0</v>
      </c>
      <c r="G1396" s="2" t="str">
        <f t="shared" si="65"/>
        <v>01</v>
      </c>
      <c r="H1396" s="3">
        <v>413</v>
      </c>
    </row>
    <row r="1397" spans="1:8" x14ac:dyDescent="0.25">
      <c r="A1397" s="2" t="str">
        <f>"00031720"</f>
        <v>00031720</v>
      </c>
      <c r="B1397" s="2" t="str">
        <f t="shared" si="63"/>
        <v>SG</v>
      </c>
      <c r="C1397" s="4" t="s">
        <v>892</v>
      </c>
      <c r="D1397" s="4" t="s">
        <v>0</v>
      </c>
      <c r="E1397" s="4" t="s">
        <v>12</v>
      </c>
      <c r="F1397" s="2" t="s">
        <v>0</v>
      </c>
      <c r="G1397" s="2" t="str">
        <f t="shared" si="65"/>
        <v>01</v>
      </c>
      <c r="H1397" s="3">
        <v>413</v>
      </c>
    </row>
    <row r="1398" spans="1:8" ht="29.25" x14ac:dyDescent="0.25">
      <c r="A1398" s="2" t="str">
        <f>"00031730"</f>
        <v>00031730</v>
      </c>
      <c r="B1398" s="2" t="str">
        <f t="shared" si="63"/>
        <v>SG</v>
      </c>
      <c r="C1398" s="4" t="s">
        <v>893</v>
      </c>
      <c r="D1398" s="4" t="s">
        <v>0</v>
      </c>
      <c r="E1398" s="4" t="s">
        <v>12</v>
      </c>
      <c r="F1398" s="2" t="s">
        <v>0</v>
      </c>
      <c r="G1398" s="2" t="str">
        <f t="shared" si="65"/>
        <v>01</v>
      </c>
      <c r="H1398" s="3">
        <v>413</v>
      </c>
    </row>
    <row r="1399" spans="1:8" x14ac:dyDescent="0.25">
      <c r="A1399" s="2" t="str">
        <f>"00031750"</f>
        <v>00031750</v>
      </c>
      <c r="B1399" s="2" t="str">
        <f t="shared" si="63"/>
        <v>SG</v>
      </c>
      <c r="C1399" s="4" t="s">
        <v>894</v>
      </c>
      <c r="D1399" s="4" t="s">
        <v>0</v>
      </c>
      <c r="E1399" s="4" t="s">
        <v>12</v>
      </c>
      <c r="F1399" s="2" t="s">
        <v>0</v>
      </c>
      <c r="G1399" s="2" t="str">
        <f>"07"</f>
        <v>07</v>
      </c>
      <c r="H1399" s="3">
        <v>1233</v>
      </c>
    </row>
    <row r="1400" spans="1:8" x14ac:dyDescent="0.25">
      <c r="A1400" s="2" t="str">
        <f>"00031755"</f>
        <v>00031755</v>
      </c>
      <c r="B1400" s="2" t="str">
        <f t="shared" si="63"/>
        <v>SG</v>
      </c>
      <c r="C1400" s="4" t="s">
        <v>894</v>
      </c>
      <c r="D1400" s="4" t="s">
        <v>0</v>
      </c>
      <c r="E1400" s="4" t="s">
        <v>12</v>
      </c>
      <c r="F1400" s="2" t="s">
        <v>0</v>
      </c>
      <c r="G1400" s="2" t="str">
        <f>"07"</f>
        <v>07</v>
      </c>
      <c r="H1400" s="3">
        <v>1233</v>
      </c>
    </row>
    <row r="1401" spans="1:8" ht="29.25" x14ac:dyDescent="0.25">
      <c r="A1401" s="2" t="str">
        <f>"00031820"</f>
        <v>00031820</v>
      </c>
      <c r="B1401" s="2" t="str">
        <f t="shared" si="63"/>
        <v>SG</v>
      </c>
      <c r="C1401" s="4" t="s">
        <v>895</v>
      </c>
      <c r="D1401" s="4" t="s">
        <v>0</v>
      </c>
      <c r="E1401" s="4" t="s">
        <v>12</v>
      </c>
      <c r="F1401" s="2" t="s">
        <v>0</v>
      </c>
      <c r="G1401" s="2" t="str">
        <f>"02"</f>
        <v>02</v>
      </c>
      <c r="H1401" s="3">
        <v>552</v>
      </c>
    </row>
    <row r="1402" spans="1:8" ht="29.25" x14ac:dyDescent="0.25">
      <c r="A1402" s="2" t="str">
        <f>"00031825"</f>
        <v>00031825</v>
      </c>
      <c r="B1402" s="2" t="str">
        <f t="shared" si="63"/>
        <v>SG</v>
      </c>
      <c r="C1402" s="4" t="s">
        <v>896</v>
      </c>
      <c r="D1402" s="4" t="s">
        <v>0</v>
      </c>
      <c r="E1402" s="4" t="s">
        <v>12</v>
      </c>
      <c r="F1402" s="2" t="s">
        <v>0</v>
      </c>
      <c r="G1402" s="2" t="str">
        <f>"02"</f>
        <v>02</v>
      </c>
      <c r="H1402" s="3">
        <v>552</v>
      </c>
    </row>
    <row r="1403" spans="1:8" x14ac:dyDescent="0.25">
      <c r="A1403" s="2" t="str">
        <f>"00031830"</f>
        <v>00031830</v>
      </c>
      <c r="B1403" s="2" t="str">
        <f t="shared" si="63"/>
        <v>SG</v>
      </c>
      <c r="C1403" s="4" t="s">
        <v>897</v>
      </c>
      <c r="D1403" s="4" t="s">
        <v>0</v>
      </c>
      <c r="E1403" s="4" t="s">
        <v>12</v>
      </c>
      <c r="F1403" s="2" t="s">
        <v>0</v>
      </c>
      <c r="G1403" s="2" t="str">
        <f>"02"</f>
        <v>02</v>
      </c>
      <c r="H1403" s="3">
        <v>552</v>
      </c>
    </row>
    <row r="1404" spans="1:8" ht="29.25" x14ac:dyDescent="0.25">
      <c r="A1404" s="2" t="str">
        <f>"00032400"</f>
        <v>00032400</v>
      </c>
      <c r="B1404" s="2" t="str">
        <f t="shared" si="63"/>
        <v>SG</v>
      </c>
      <c r="C1404" s="4" t="s">
        <v>898</v>
      </c>
      <c r="D1404" s="4" t="s">
        <v>0</v>
      </c>
      <c r="E1404" s="4" t="s">
        <v>12</v>
      </c>
      <c r="F1404" s="2" t="s">
        <v>0</v>
      </c>
      <c r="G1404" s="2" t="str">
        <f>"01"</f>
        <v>01</v>
      </c>
      <c r="H1404" s="3">
        <v>413</v>
      </c>
    </row>
    <row r="1405" spans="1:8" ht="29.25" x14ac:dyDescent="0.25">
      <c r="A1405" s="2" t="str">
        <f>"00033212"</f>
        <v>00033212</v>
      </c>
      <c r="B1405" s="2" t="str">
        <f t="shared" si="63"/>
        <v>SG</v>
      </c>
      <c r="C1405" s="4" t="s">
        <v>899</v>
      </c>
      <c r="D1405" s="4" t="s">
        <v>0</v>
      </c>
      <c r="E1405" s="4" t="s">
        <v>12</v>
      </c>
      <c r="F1405" s="2" t="s">
        <v>0</v>
      </c>
      <c r="G1405" s="2" t="str">
        <f>"09"</f>
        <v>09</v>
      </c>
      <c r="H1405" s="3">
        <v>1662</v>
      </c>
    </row>
    <row r="1406" spans="1:8" ht="29.25" x14ac:dyDescent="0.25">
      <c r="A1406" s="2" t="str">
        <f>"00033213"</f>
        <v>00033213</v>
      </c>
      <c r="B1406" s="2" t="str">
        <f t="shared" si="63"/>
        <v>SG</v>
      </c>
      <c r="C1406" s="4" t="s">
        <v>899</v>
      </c>
      <c r="D1406" s="4" t="s">
        <v>0</v>
      </c>
      <c r="E1406" s="4" t="s">
        <v>12</v>
      </c>
      <c r="F1406" s="2" t="s">
        <v>0</v>
      </c>
      <c r="G1406" s="2" t="str">
        <f>"09"</f>
        <v>09</v>
      </c>
      <c r="H1406" s="3">
        <v>1662</v>
      </c>
    </row>
    <row r="1407" spans="1:8" ht="29.25" x14ac:dyDescent="0.25">
      <c r="A1407" s="2" t="str">
        <f>"00033222"</f>
        <v>00033222</v>
      </c>
      <c r="B1407" s="2" t="str">
        <f t="shared" si="63"/>
        <v>SG</v>
      </c>
      <c r="C1407" s="4" t="s">
        <v>900</v>
      </c>
      <c r="D1407" s="4" t="s">
        <v>0</v>
      </c>
      <c r="E1407" s="4" t="s">
        <v>12</v>
      </c>
      <c r="F1407" s="2" t="s">
        <v>0</v>
      </c>
      <c r="G1407" s="2" t="str">
        <f>"01"</f>
        <v>01</v>
      </c>
      <c r="H1407" s="3">
        <v>413</v>
      </c>
    </row>
    <row r="1408" spans="1:8" ht="29.25" x14ac:dyDescent="0.25">
      <c r="A1408" s="2" t="str">
        <f>"00033223"</f>
        <v>00033223</v>
      </c>
      <c r="B1408" s="2" t="str">
        <f t="shared" si="63"/>
        <v>SG</v>
      </c>
      <c r="C1408" s="4" t="s">
        <v>901</v>
      </c>
      <c r="D1408" s="4" t="s">
        <v>0</v>
      </c>
      <c r="E1408" s="4" t="s">
        <v>12</v>
      </c>
      <c r="F1408" s="2" t="s">
        <v>0</v>
      </c>
      <c r="G1408" s="2" t="str">
        <f>"02"</f>
        <v>02</v>
      </c>
      <c r="H1408" s="3">
        <v>552</v>
      </c>
    </row>
    <row r="1409" spans="1:8" ht="29.25" x14ac:dyDescent="0.25">
      <c r="A1409" s="2" t="str">
        <f>"00033233"</f>
        <v>00033233</v>
      </c>
      <c r="B1409" s="2" t="str">
        <f t="shared" si="63"/>
        <v>SG</v>
      </c>
      <c r="C1409" s="4" t="s">
        <v>902</v>
      </c>
      <c r="D1409" s="4" t="s">
        <v>0</v>
      </c>
      <c r="E1409" s="4" t="s">
        <v>12</v>
      </c>
      <c r="F1409" s="2" t="s">
        <v>0</v>
      </c>
      <c r="G1409" s="2" t="str">
        <f>"09"</f>
        <v>09</v>
      </c>
      <c r="H1409" s="3">
        <v>1662</v>
      </c>
    </row>
    <row r="1410" spans="1:8" ht="29.25" x14ac:dyDescent="0.25">
      <c r="A1410" s="2" t="str">
        <f>"00035188"</f>
        <v>00035188</v>
      </c>
      <c r="B1410" s="2" t="str">
        <f t="shared" si="63"/>
        <v>SG</v>
      </c>
      <c r="C1410" s="4" t="s">
        <v>903</v>
      </c>
      <c r="D1410" s="4" t="s">
        <v>0</v>
      </c>
      <c r="E1410" s="4" t="s">
        <v>12</v>
      </c>
      <c r="F1410" s="2" t="s">
        <v>0</v>
      </c>
      <c r="G1410" s="2" t="str">
        <f>"06"</f>
        <v>06</v>
      </c>
      <c r="H1410" s="3">
        <v>1000</v>
      </c>
    </row>
    <row r="1411" spans="1:8" ht="29.25" x14ac:dyDescent="0.25">
      <c r="A1411" s="2" t="str">
        <f>"00035207"</f>
        <v>00035207</v>
      </c>
      <c r="B1411" s="2" t="str">
        <f t="shared" si="63"/>
        <v>SG</v>
      </c>
      <c r="C1411" s="4" t="s">
        <v>903</v>
      </c>
      <c r="D1411" s="4" t="s">
        <v>0</v>
      </c>
      <c r="E1411" s="4" t="s">
        <v>12</v>
      </c>
      <c r="F1411" s="2" t="s">
        <v>0</v>
      </c>
      <c r="G1411" s="2" t="str">
        <f>"06"</f>
        <v>06</v>
      </c>
      <c r="H1411" s="3">
        <v>1000</v>
      </c>
    </row>
    <row r="1412" spans="1:8" ht="29.25" x14ac:dyDescent="0.25">
      <c r="A1412" s="2" t="str">
        <f>"00035875"</f>
        <v>00035875</v>
      </c>
      <c r="B1412" s="2" t="str">
        <f t="shared" si="63"/>
        <v>SG</v>
      </c>
      <c r="C1412" s="4" t="s">
        <v>904</v>
      </c>
      <c r="D1412" s="4" t="s">
        <v>0</v>
      </c>
      <c r="E1412" s="4" t="s">
        <v>12</v>
      </c>
      <c r="F1412" s="2" t="s">
        <v>0</v>
      </c>
      <c r="G1412" s="2" t="str">
        <f>"06"</f>
        <v>06</v>
      </c>
      <c r="H1412" s="3">
        <v>1000</v>
      </c>
    </row>
    <row r="1413" spans="1:8" ht="29.25" x14ac:dyDescent="0.25">
      <c r="A1413" s="2" t="str">
        <f>"00035876"</f>
        <v>00035876</v>
      </c>
      <c r="B1413" s="2" t="str">
        <f t="shared" si="63"/>
        <v>SG</v>
      </c>
      <c r="C1413" s="4" t="s">
        <v>904</v>
      </c>
      <c r="D1413" s="4" t="s">
        <v>0</v>
      </c>
      <c r="E1413" s="4" t="s">
        <v>12</v>
      </c>
      <c r="F1413" s="2" t="s">
        <v>0</v>
      </c>
      <c r="G1413" s="2" t="str">
        <f>"06"</f>
        <v>06</v>
      </c>
      <c r="H1413" s="3">
        <v>1000</v>
      </c>
    </row>
    <row r="1414" spans="1:8" ht="29.25" x14ac:dyDescent="0.25">
      <c r="A1414" s="2" t="str">
        <f>"00036260"</f>
        <v>00036260</v>
      </c>
      <c r="B1414" s="2" t="str">
        <f t="shared" si="63"/>
        <v>SG</v>
      </c>
      <c r="C1414" s="4" t="s">
        <v>905</v>
      </c>
      <c r="D1414" s="4" t="s">
        <v>0</v>
      </c>
      <c r="E1414" s="4" t="s">
        <v>12</v>
      </c>
      <c r="F1414" s="2" t="s">
        <v>0</v>
      </c>
      <c r="G1414" s="2" t="str">
        <f>"03"</f>
        <v>03</v>
      </c>
      <c r="H1414" s="3">
        <v>637</v>
      </c>
    </row>
    <row r="1415" spans="1:8" ht="29.25" x14ac:dyDescent="0.25">
      <c r="A1415" s="2" t="str">
        <f>"00036261"</f>
        <v>00036261</v>
      </c>
      <c r="B1415" s="2" t="str">
        <f t="shared" si="63"/>
        <v>SG</v>
      </c>
      <c r="C1415" s="4" t="s">
        <v>906</v>
      </c>
      <c r="D1415" s="4" t="s">
        <v>0</v>
      </c>
      <c r="E1415" s="4" t="s">
        <v>12</v>
      </c>
      <c r="F1415" s="2" t="s">
        <v>0</v>
      </c>
      <c r="G1415" s="2" t="str">
        <f>"03"</f>
        <v>03</v>
      </c>
      <c r="H1415" s="3">
        <v>637</v>
      </c>
    </row>
    <row r="1416" spans="1:8" ht="29.25" x14ac:dyDescent="0.25">
      <c r="A1416" s="2" t="str">
        <f>"00036262"</f>
        <v>00036262</v>
      </c>
      <c r="B1416" s="2" t="str">
        <f t="shared" si="63"/>
        <v>SG</v>
      </c>
      <c r="C1416" s="4" t="s">
        <v>907</v>
      </c>
      <c r="D1416" s="4" t="s">
        <v>0</v>
      </c>
      <c r="E1416" s="4" t="s">
        <v>12</v>
      </c>
      <c r="F1416" s="2" t="s">
        <v>0</v>
      </c>
      <c r="G1416" s="2" t="str">
        <f>"03"</f>
        <v>03</v>
      </c>
      <c r="H1416" s="3">
        <v>637</v>
      </c>
    </row>
    <row r="1417" spans="1:8" x14ac:dyDescent="0.25">
      <c r="A1417" s="2" t="str">
        <f>"00036475"</f>
        <v>00036475</v>
      </c>
      <c r="B1417" s="2" t="str">
        <f t="shared" si="63"/>
        <v>SG</v>
      </c>
      <c r="C1417" s="4" t="s">
        <v>908</v>
      </c>
      <c r="D1417" s="4" t="s">
        <v>0</v>
      </c>
      <c r="E1417" s="4" t="s">
        <v>12</v>
      </c>
      <c r="F1417" s="2" t="s">
        <v>0</v>
      </c>
      <c r="G1417" s="2" t="str">
        <f>"09"</f>
        <v>09</v>
      </c>
      <c r="H1417" s="3">
        <v>1662</v>
      </c>
    </row>
    <row r="1418" spans="1:8" ht="29.25" x14ac:dyDescent="0.25">
      <c r="A1418" s="2" t="str">
        <f>"00036476"</f>
        <v>00036476</v>
      </c>
      <c r="B1418" s="2" t="str">
        <f t="shared" si="63"/>
        <v>SG</v>
      </c>
      <c r="C1418" s="4" t="s">
        <v>909</v>
      </c>
      <c r="D1418" s="4" t="s">
        <v>0</v>
      </c>
      <c r="E1418" s="4" t="s">
        <v>12</v>
      </c>
      <c r="F1418" s="2" t="s">
        <v>0</v>
      </c>
      <c r="G1418" s="2" t="str">
        <f>"01"</f>
        <v>01</v>
      </c>
      <c r="H1418" s="3">
        <v>413</v>
      </c>
    </row>
    <row r="1419" spans="1:8" ht="29.25" x14ac:dyDescent="0.25">
      <c r="A1419" s="2" t="str">
        <f>"00036478"</f>
        <v>00036478</v>
      </c>
      <c r="B1419" s="2" t="str">
        <f t="shared" si="63"/>
        <v>SG</v>
      </c>
      <c r="C1419" s="4" t="s">
        <v>910</v>
      </c>
      <c r="D1419" s="4" t="s">
        <v>0</v>
      </c>
      <c r="E1419" s="4" t="s">
        <v>12</v>
      </c>
      <c r="F1419" s="2" t="s">
        <v>0</v>
      </c>
      <c r="G1419" s="2" t="str">
        <f>"09"</f>
        <v>09</v>
      </c>
      <c r="H1419" s="3">
        <v>1662</v>
      </c>
    </row>
    <row r="1420" spans="1:8" ht="29.25" x14ac:dyDescent="0.25">
      <c r="A1420" s="2" t="str">
        <f>"00036479"</f>
        <v>00036479</v>
      </c>
      <c r="B1420" s="2" t="str">
        <f t="shared" si="63"/>
        <v>SG</v>
      </c>
      <c r="C1420" s="4" t="s">
        <v>911</v>
      </c>
      <c r="D1420" s="4" t="s">
        <v>0</v>
      </c>
      <c r="E1420" s="4" t="s">
        <v>12</v>
      </c>
      <c r="F1420" s="2" t="s">
        <v>0</v>
      </c>
      <c r="G1420" s="2" t="str">
        <f>"01"</f>
        <v>01</v>
      </c>
      <c r="H1420" s="3">
        <v>413</v>
      </c>
    </row>
    <row r="1421" spans="1:8" ht="100.5" x14ac:dyDescent="0.25">
      <c r="A1421" s="2" t="str">
        <f>"00036482"</f>
        <v>00036482</v>
      </c>
      <c r="B1421" s="2" t="str">
        <f t="shared" ref="B1421:B1484" si="66">"SG"</f>
        <v>SG</v>
      </c>
      <c r="C1421" s="4" t="s">
        <v>912</v>
      </c>
      <c r="D1421" s="4" t="s">
        <v>0</v>
      </c>
      <c r="E1421" s="4" t="s">
        <v>12</v>
      </c>
      <c r="F1421" s="2" t="s">
        <v>0</v>
      </c>
      <c r="G1421" s="2" t="str">
        <f>"09"</f>
        <v>09</v>
      </c>
      <c r="H1421" s="3">
        <v>1662</v>
      </c>
    </row>
    <row r="1422" spans="1:8" ht="72" x14ac:dyDescent="0.25">
      <c r="A1422" s="2" t="str">
        <f>"00036483"</f>
        <v>00036483</v>
      </c>
      <c r="B1422" s="2" t="str">
        <f t="shared" si="66"/>
        <v>SG</v>
      </c>
      <c r="C1422" s="4" t="s">
        <v>913</v>
      </c>
      <c r="D1422" s="4" t="s">
        <v>0</v>
      </c>
      <c r="E1422" s="4" t="s">
        <v>12</v>
      </c>
      <c r="F1422" s="2" t="s">
        <v>0</v>
      </c>
      <c r="G1422" s="2" t="str">
        <f>"01"</f>
        <v>01</v>
      </c>
      <c r="H1422" s="3">
        <v>413</v>
      </c>
    </row>
    <row r="1423" spans="1:8" ht="29.25" x14ac:dyDescent="0.25">
      <c r="A1423" s="2" t="str">
        <f>"00036555"</f>
        <v>00036555</v>
      </c>
      <c r="B1423" s="2" t="str">
        <f t="shared" si="66"/>
        <v>SG</v>
      </c>
      <c r="C1423" s="4" t="s">
        <v>914</v>
      </c>
      <c r="D1423" s="4" t="s">
        <v>0</v>
      </c>
      <c r="E1423" s="4" t="s">
        <v>12</v>
      </c>
      <c r="F1423" s="2" t="s">
        <v>0</v>
      </c>
      <c r="G1423" s="2" t="str">
        <f>"01"</f>
        <v>01</v>
      </c>
      <c r="H1423" s="3">
        <v>413</v>
      </c>
    </row>
    <row r="1424" spans="1:8" ht="29.25" x14ac:dyDescent="0.25">
      <c r="A1424" s="2" t="str">
        <f>"00036556"</f>
        <v>00036556</v>
      </c>
      <c r="B1424" s="2" t="str">
        <f t="shared" si="66"/>
        <v>SG</v>
      </c>
      <c r="C1424" s="4" t="s">
        <v>914</v>
      </c>
      <c r="D1424" s="4" t="s">
        <v>0</v>
      </c>
      <c r="E1424" s="4" t="s">
        <v>12</v>
      </c>
      <c r="F1424" s="2" t="s">
        <v>0</v>
      </c>
      <c r="G1424" s="2" t="str">
        <f>"01"</f>
        <v>01</v>
      </c>
      <c r="H1424" s="3">
        <v>413</v>
      </c>
    </row>
    <row r="1425" spans="1:8" x14ac:dyDescent="0.25">
      <c r="A1425" s="2" t="str">
        <f>"00036557"</f>
        <v>00036557</v>
      </c>
      <c r="B1425" s="2" t="str">
        <f t="shared" si="66"/>
        <v>SG</v>
      </c>
      <c r="C1425" s="4" t="s">
        <v>915</v>
      </c>
      <c r="D1425" s="4" t="s">
        <v>0</v>
      </c>
      <c r="E1425" s="4" t="s">
        <v>12</v>
      </c>
      <c r="F1425" s="2" t="s">
        <v>0</v>
      </c>
      <c r="G1425" s="2" t="str">
        <f t="shared" ref="G1425:G1431" si="67">"03"</f>
        <v>03</v>
      </c>
      <c r="H1425" s="3">
        <v>637</v>
      </c>
    </row>
    <row r="1426" spans="1:8" x14ac:dyDescent="0.25">
      <c r="A1426" s="2" t="str">
        <f>"00036558"</f>
        <v>00036558</v>
      </c>
      <c r="B1426" s="2" t="str">
        <f t="shared" si="66"/>
        <v>SG</v>
      </c>
      <c r="C1426" s="4" t="s">
        <v>915</v>
      </c>
      <c r="D1426" s="4" t="s">
        <v>0</v>
      </c>
      <c r="E1426" s="4" t="s">
        <v>12</v>
      </c>
      <c r="F1426" s="2" t="s">
        <v>0</v>
      </c>
      <c r="G1426" s="2" t="str">
        <f t="shared" si="67"/>
        <v>03</v>
      </c>
      <c r="H1426" s="3">
        <v>637</v>
      </c>
    </row>
    <row r="1427" spans="1:8" x14ac:dyDescent="0.25">
      <c r="A1427" s="2" t="str">
        <f>"00036560"</f>
        <v>00036560</v>
      </c>
      <c r="B1427" s="2" t="str">
        <f t="shared" si="66"/>
        <v>SG</v>
      </c>
      <c r="C1427" s="4" t="s">
        <v>915</v>
      </c>
      <c r="D1427" s="4" t="s">
        <v>0</v>
      </c>
      <c r="E1427" s="4" t="s">
        <v>12</v>
      </c>
      <c r="F1427" s="2" t="s">
        <v>0</v>
      </c>
      <c r="G1427" s="2" t="str">
        <f t="shared" si="67"/>
        <v>03</v>
      </c>
      <c r="H1427" s="3">
        <v>637</v>
      </c>
    </row>
    <row r="1428" spans="1:8" x14ac:dyDescent="0.25">
      <c r="A1428" s="2" t="str">
        <f>"00036561"</f>
        <v>00036561</v>
      </c>
      <c r="B1428" s="2" t="str">
        <f t="shared" si="66"/>
        <v>SG</v>
      </c>
      <c r="C1428" s="4" t="s">
        <v>915</v>
      </c>
      <c r="D1428" s="4" t="s">
        <v>0</v>
      </c>
      <c r="E1428" s="4" t="s">
        <v>12</v>
      </c>
      <c r="F1428" s="2" t="s">
        <v>0</v>
      </c>
      <c r="G1428" s="2" t="str">
        <f t="shared" si="67"/>
        <v>03</v>
      </c>
      <c r="H1428" s="3">
        <v>637</v>
      </c>
    </row>
    <row r="1429" spans="1:8" x14ac:dyDescent="0.25">
      <c r="A1429" s="2" t="str">
        <f>"00036563"</f>
        <v>00036563</v>
      </c>
      <c r="B1429" s="2" t="str">
        <f t="shared" si="66"/>
        <v>SG</v>
      </c>
      <c r="C1429" s="4" t="s">
        <v>915</v>
      </c>
      <c r="D1429" s="4" t="s">
        <v>0</v>
      </c>
      <c r="E1429" s="4" t="s">
        <v>12</v>
      </c>
      <c r="F1429" s="2" t="s">
        <v>0</v>
      </c>
      <c r="G1429" s="2" t="str">
        <f t="shared" si="67"/>
        <v>03</v>
      </c>
      <c r="H1429" s="3">
        <v>637</v>
      </c>
    </row>
    <row r="1430" spans="1:8" x14ac:dyDescent="0.25">
      <c r="A1430" s="2" t="str">
        <f>"00036565"</f>
        <v>00036565</v>
      </c>
      <c r="B1430" s="2" t="str">
        <f t="shared" si="66"/>
        <v>SG</v>
      </c>
      <c r="C1430" s="4" t="s">
        <v>915</v>
      </c>
      <c r="D1430" s="4" t="s">
        <v>0</v>
      </c>
      <c r="E1430" s="4" t="s">
        <v>12</v>
      </c>
      <c r="F1430" s="2" t="s">
        <v>0</v>
      </c>
      <c r="G1430" s="2" t="str">
        <f t="shared" si="67"/>
        <v>03</v>
      </c>
      <c r="H1430" s="3">
        <v>637</v>
      </c>
    </row>
    <row r="1431" spans="1:8" x14ac:dyDescent="0.25">
      <c r="A1431" s="2" t="str">
        <f>"00036566"</f>
        <v>00036566</v>
      </c>
      <c r="B1431" s="2" t="str">
        <f t="shared" si="66"/>
        <v>SG</v>
      </c>
      <c r="C1431" s="4" t="s">
        <v>915</v>
      </c>
      <c r="D1431" s="4" t="s">
        <v>0</v>
      </c>
      <c r="E1431" s="4" t="s">
        <v>12</v>
      </c>
      <c r="F1431" s="2" t="s">
        <v>0</v>
      </c>
      <c r="G1431" s="2" t="str">
        <f t="shared" si="67"/>
        <v>03</v>
      </c>
      <c r="H1431" s="3">
        <v>637</v>
      </c>
    </row>
    <row r="1432" spans="1:8" x14ac:dyDescent="0.25">
      <c r="A1432" s="2" t="str">
        <f>"00036568"</f>
        <v>00036568</v>
      </c>
      <c r="B1432" s="2" t="str">
        <f t="shared" si="66"/>
        <v>SG</v>
      </c>
      <c r="C1432" s="4" t="s">
        <v>916</v>
      </c>
      <c r="D1432" s="4" t="s">
        <v>0</v>
      </c>
      <c r="E1432" s="4" t="s">
        <v>12</v>
      </c>
      <c r="F1432" s="2" t="s">
        <v>0</v>
      </c>
      <c r="G1432" s="2" t="str">
        <f>"01"</f>
        <v>01</v>
      </c>
      <c r="H1432" s="3">
        <v>413</v>
      </c>
    </row>
    <row r="1433" spans="1:8" x14ac:dyDescent="0.25">
      <c r="A1433" s="2" t="str">
        <f>"00036569"</f>
        <v>00036569</v>
      </c>
      <c r="B1433" s="2" t="str">
        <f t="shared" si="66"/>
        <v>SG</v>
      </c>
      <c r="C1433" s="4" t="s">
        <v>916</v>
      </c>
      <c r="D1433" s="4" t="s">
        <v>0</v>
      </c>
      <c r="E1433" s="4" t="s">
        <v>12</v>
      </c>
      <c r="F1433" s="2" t="s">
        <v>0</v>
      </c>
      <c r="G1433" s="2" t="str">
        <f>"01"</f>
        <v>01</v>
      </c>
      <c r="H1433" s="3">
        <v>413</v>
      </c>
    </row>
    <row r="1434" spans="1:8" x14ac:dyDescent="0.25">
      <c r="A1434" s="2" t="str">
        <f>"00036570"</f>
        <v>00036570</v>
      </c>
      <c r="B1434" s="2" t="str">
        <f t="shared" si="66"/>
        <v>SG</v>
      </c>
      <c r="C1434" s="4" t="s">
        <v>917</v>
      </c>
      <c r="D1434" s="4" t="s">
        <v>0</v>
      </c>
      <c r="E1434" s="4" t="s">
        <v>12</v>
      </c>
      <c r="F1434" s="2" t="s">
        <v>0</v>
      </c>
      <c r="G1434" s="2" t="str">
        <f>"03"</f>
        <v>03</v>
      </c>
      <c r="H1434" s="3">
        <v>637</v>
      </c>
    </row>
    <row r="1435" spans="1:8" x14ac:dyDescent="0.25">
      <c r="A1435" s="2" t="str">
        <f>"00036571"</f>
        <v>00036571</v>
      </c>
      <c r="B1435" s="2" t="str">
        <f t="shared" si="66"/>
        <v>SG</v>
      </c>
      <c r="C1435" s="4" t="s">
        <v>917</v>
      </c>
      <c r="D1435" s="4" t="s">
        <v>0</v>
      </c>
      <c r="E1435" s="4" t="s">
        <v>12</v>
      </c>
      <c r="F1435" s="2" t="s">
        <v>0</v>
      </c>
      <c r="G1435" s="2" t="str">
        <f>"03"</f>
        <v>03</v>
      </c>
      <c r="H1435" s="3">
        <v>637</v>
      </c>
    </row>
    <row r="1436" spans="1:8" x14ac:dyDescent="0.25">
      <c r="A1436" s="2" t="str">
        <f>"00036575"</f>
        <v>00036575</v>
      </c>
      <c r="B1436" s="2" t="str">
        <f t="shared" si="66"/>
        <v>SG</v>
      </c>
      <c r="C1436" s="4" t="s">
        <v>918</v>
      </c>
      <c r="D1436" s="4" t="s">
        <v>0</v>
      </c>
      <c r="E1436" s="4" t="s">
        <v>12</v>
      </c>
      <c r="F1436" s="2" t="s">
        <v>0</v>
      </c>
      <c r="G1436" s="2" t="str">
        <f>"01"</f>
        <v>01</v>
      </c>
      <c r="H1436" s="3">
        <v>413</v>
      </c>
    </row>
    <row r="1437" spans="1:8" x14ac:dyDescent="0.25">
      <c r="A1437" s="2" t="str">
        <f>"00036576"</f>
        <v>00036576</v>
      </c>
      <c r="B1437" s="2" t="str">
        <f t="shared" si="66"/>
        <v>SG</v>
      </c>
      <c r="C1437" s="4" t="s">
        <v>918</v>
      </c>
      <c r="D1437" s="4" t="s">
        <v>0</v>
      </c>
      <c r="E1437" s="4" t="s">
        <v>12</v>
      </c>
      <c r="F1437" s="2" t="s">
        <v>0</v>
      </c>
      <c r="G1437" s="2" t="str">
        <f>"01"</f>
        <v>01</v>
      </c>
      <c r="H1437" s="3">
        <v>413</v>
      </c>
    </row>
    <row r="1438" spans="1:8" ht="29.25" x14ac:dyDescent="0.25">
      <c r="A1438" s="2" t="str">
        <f>"00036578"</f>
        <v>00036578</v>
      </c>
      <c r="B1438" s="2" t="str">
        <f t="shared" si="66"/>
        <v>SG</v>
      </c>
      <c r="C1438" s="4" t="s">
        <v>919</v>
      </c>
      <c r="D1438" s="4" t="s">
        <v>0</v>
      </c>
      <c r="E1438" s="4" t="s">
        <v>12</v>
      </c>
      <c r="F1438" s="2" t="s">
        <v>0</v>
      </c>
      <c r="G1438" s="2" t="str">
        <f>"03"</f>
        <v>03</v>
      </c>
      <c r="H1438" s="3">
        <v>637</v>
      </c>
    </row>
    <row r="1439" spans="1:8" x14ac:dyDescent="0.25">
      <c r="A1439" s="2" t="str">
        <f>"00036580"</f>
        <v>00036580</v>
      </c>
      <c r="B1439" s="2" t="str">
        <f t="shared" si="66"/>
        <v>SG</v>
      </c>
      <c r="C1439" s="4" t="s">
        <v>920</v>
      </c>
      <c r="D1439" s="4" t="s">
        <v>0</v>
      </c>
      <c r="E1439" s="4" t="s">
        <v>12</v>
      </c>
      <c r="F1439" s="2" t="s">
        <v>0</v>
      </c>
      <c r="G1439" s="2" t="str">
        <f>"01"</f>
        <v>01</v>
      </c>
      <c r="H1439" s="3">
        <v>413</v>
      </c>
    </row>
    <row r="1440" spans="1:8" ht="29.25" x14ac:dyDescent="0.25">
      <c r="A1440" s="2" t="str">
        <f>"00036581"</f>
        <v>00036581</v>
      </c>
      <c r="B1440" s="2" t="str">
        <f t="shared" si="66"/>
        <v>SG</v>
      </c>
      <c r="C1440" s="4" t="s">
        <v>919</v>
      </c>
      <c r="D1440" s="4" t="s">
        <v>0</v>
      </c>
      <c r="E1440" s="4" t="s">
        <v>12</v>
      </c>
      <c r="F1440" s="2" t="s">
        <v>0</v>
      </c>
      <c r="G1440" s="2" t="str">
        <f>"03"</f>
        <v>03</v>
      </c>
      <c r="H1440" s="3">
        <v>637</v>
      </c>
    </row>
    <row r="1441" spans="1:8" ht="29.25" x14ac:dyDescent="0.25">
      <c r="A1441" s="2" t="str">
        <f>"00036582"</f>
        <v>00036582</v>
      </c>
      <c r="B1441" s="2" t="str">
        <f t="shared" si="66"/>
        <v>SG</v>
      </c>
      <c r="C1441" s="4" t="s">
        <v>919</v>
      </c>
      <c r="D1441" s="4" t="s">
        <v>0</v>
      </c>
      <c r="E1441" s="4" t="s">
        <v>12</v>
      </c>
      <c r="F1441" s="2" t="s">
        <v>0</v>
      </c>
      <c r="G1441" s="2" t="str">
        <f>"03"</f>
        <v>03</v>
      </c>
      <c r="H1441" s="3">
        <v>637</v>
      </c>
    </row>
    <row r="1442" spans="1:8" ht="29.25" x14ac:dyDescent="0.25">
      <c r="A1442" s="2" t="str">
        <f>"00036583"</f>
        <v>00036583</v>
      </c>
      <c r="B1442" s="2" t="str">
        <f t="shared" si="66"/>
        <v>SG</v>
      </c>
      <c r="C1442" s="4" t="s">
        <v>919</v>
      </c>
      <c r="D1442" s="4" t="s">
        <v>0</v>
      </c>
      <c r="E1442" s="4" t="s">
        <v>12</v>
      </c>
      <c r="F1442" s="2" t="s">
        <v>0</v>
      </c>
      <c r="G1442" s="2" t="str">
        <f>"03"</f>
        <v>03</v>
      </c>
      <c r="H1442" s="3">
        <v>637</v>
      </c>
    </row>
    <row r="1443" spans="1:8" x14ac:dyDescent="0.25">
      <c r="A1443" s="2" t="str">
        <f>"00036584"</f>
        <v>00036584</v>
      </c>
      <c r="B1443" s="2" t="str">
        <f t="shared" si="66"/>
        <v>SG</v>
      </c>
      <c r="C1443" s="4" t="s">
        <v>921</v>
      </c>
      <c r="D1443" s="4" t="s">
        <v>0</v>
      </c>
      <c r="E1443" s="4" t="s">
        <v>12</v>
      </c>
      <c r="F1443" s="2" t="s">
        <v>0</v>
      </c>
      <c r="G1443" s="2" t="str">
        <f>"01"</f>
        <v>01</v>
      </c>
      <c r="H1443" s="3">
        <v>413</v>
      </c>
    </row>
    <row r="1444" spans="1:8" x14ac:dyDescent="0.25">
      <c r="A1444" s="2" t="str">
        <f>"00036585"</f>
        <v>00036585</v>
      </c>
      <c r="B1444" s="2" t="str">
        <f t="shared" si="66"/>
        <v>SG</v>
      </c>
      <c r="C1444" s="4" t="s">
        <v>922</v>
      </c>
      <c r="D1444" s="4" t="s">
        <v>0</v>
      </c>
      <c r="E1444" s="4" t="s">
        <v>12</v>
      </c>
      <c r="F1444" s="2" t="s">
        <v>0</v>
      </c>
      <c r="G1444" s="2" t="str">
        <f>"03"</f>
        <v>03</v>
      </c>
      <c r="H1444" s="3">
        <v>637</v>
      </c>
    </row>
    <row r="1445" spans="1:8" ht="29.25" x14ac:dyDescent="0.25">
      <c r="A1445" s="2" t="str">
        <f>"00036589"</f>
        <v>00036589</v>
      </c>
      <c r="B1445" s="2" t="str">
        <f t="shared" si="66"/>
        <v>SG</v>
      </c>
      <c r="C1445" s="4" t="s">
        <v>923</v>
      </c>
      <c r="D1445" s="4" t="s">
        <v>0</v>
      </c>
      <c r="E1445" s="4" t="s">
        <v>12</v>
      </c>
      <c r="F1445" s="2" t="s">
        <v>0</v>
      </c>
      <c r="G1445" s="2" t="str">
        <f>"01"</f>
        <v>01</v>
      </c>
      <c r="H1445" s="3">
        <v>413</v>
      </c>
    </row>
    <row r="1446" spans="1:8" ht="29.25" x14ac:dyDescent="0.25">
      <c r="A1446" s="2" t="str">
        <f>"00036590"</f>
        <v>00036590</v>
      </c>
      <c r="B1446" s="2" t="str">
        <f t="shared" si="66"/>
        <v>SG</v>
      </c>
      <c r="C1446" s="4" t="s">
        <v>923</v>
      </c>
      <c r="D1446" s="4" t="s">
        <v>0</v>
      </c>
      <c r="E1446" s="4" t="s">
        <v>12</v>
      </c>
      <c r="F1446" s="2" t="s">
        <v>0</v>
      </c>
      <c r="G1446" s="2" t="str">
        <f>"01"</f>
        <v>01</v>
      </c>
      <c r="H1446" s="3">
        <v>413</v>
      </c>
    </row>
    <row r="1447" spans="1:8" ht="29.25" x14ac:dyDescent="0.25">
      <c r="A1447" s="2" t="str">
        <f>"00036640"</f>
        <v>00036640</v>
      </c>
      <c r="B1447" s="2" t="str">
        <f t="shared" si="66"/>
        <v>SG</v>
      </c>
      <c r="C1447" s="4" t="s">
        <v>924</v>
      </c>
      <c r="D1447" s="4" t="s">
        <v>0</v>
      </c>
      <c r="E1447" s="4" t="s">
        <v>12</v>
      </c>
      <c r="F1447" s="2" t="s">
        <v>0</v>
      </c>
      <c r="G1447" s="2" t="str">
        <f>"03"</f>
        <v>03</v>
      </c>
      <c r="H1447" s="3">
        <v>637</v>
      </c>
    </row>
    <row r="1448" spans="1:8" x14ac:dyDescent="0.25">
      <c r="A1448" s="2" t="str">
        <f>"00036800"</f>
        <v>00036800</v>
      </c>
      <c r="B1448" s="2" t="str">
        <f t="shared" si="66"/>
        <v>SG</v>
      </c>
      <c r="C1448" s="4" t="s">
        <v>925</v>
      </c>
      <c r="D1448" s="4" t="s">
        <v>0</v>
      </c>
      <c r="E1448" s="4" t="s">
        <v>12</v>
      </c>
      <c r="F1448" s="2" t="s">
        <v>0</v>
      </c>
      <c r="G1448" s="2" t="str">
        <f>"03"</f>
        <v>03</v>
      </c>
      <c r="H1448" s="3">
        <v>637</v>
      </c>
    </row>
    <row r="1449" spans="1:8" x14ac:dyDescent="0.25">
      <c r="A1449" s="2" t="str">
        <f>"00036810"</f>
        <v>00036810</v>
      </c>
      <c r="B1449" s="2" t="str">
        <f t="shared" si="66"/>
        <v>SG</v>
      </c>
      <c r="C1449" s="4" t="s">
        <v>925</v>
      </c>
      <c r="D1449" s="4" t="s">
        <v>0</v>
      </c>
      <c r="E1449" s="4" t="s">
        <v>12</v>
      </c>
      <c r="F1449" s="2" t="s">
        <v>0</v>
      </c>
      <c r="G1449" s="2" t="str">
        <f>"03"</f>
        <v>03</v>
      </c>
      <c r="H1449" s="3">
        <v>637</v>
      </c>
    </row>
    <row r="1450" spans="1:8" x14ac:dyDescent="0.25">
      <c r="A1450" s="2" t="str">
        <f>"00036815"</f>
        <v>00036815</v>
      </c>
      <c r="B1450" s="2" t="str">
        <f t="shared" si="66"/>
        <v>SG</v>
      </c>
      <c r="C1450" s="4" t="s">
        <v>925</v>
      </c>
      <c r="D1450" s="4" t="s">
        <v>0</v>
      </c>
      <c r="E1450" s="4" t="s">
        <v>12</v>
      </c>
      <c r="F1450" s="2" t="s">
        <v>0</v>
      </c>
      <c r="G1450" s="2" t="str">
        <f>"03"</f>
        <v>03</v>
      </c>
      <c r="H1450" s="3">
        <v>637</v>
      </c>
    </row>
    <row r="1451" spans="1:8" ht="29.25" x14ac:dyDescent="0.25">
      <c r="A1451" s="2" t="str">
        <f>"00036818"</f>
        <v>00036818</v>
      </c>
      <c r="B1451" s="2" t="str">
        <f t="shared" si="66"/>
        <v>SG</v>
      </c>
      <c r="C1451" s="4" t="s">
        <v>926</v>
      </c>
      <c r="D1451" s="4" t="s">
        <v>0</v>
      </c>
      <c r="E1451" s="4" t="s">
        <v>12</v>
      </c>
      <c r="F1451" s="2" t="s">
        <v>0</v>
      </c>
      <c r="G1451" s="2" t="str">
        <f t="shared" ref="G1451:G1459" si="68">"06"</f>
        <v>06</v>
      </c>
      <c r="H1451" s="3">
        <v>1000</v>
      </c>
    </row>
    <row r="1452" spans="1:8" ht="29.25" x14ac:dyDescent="0.25">
      <c r="A1452" s="2" t="str">
        <f>"00036819"</f>
        <v>00036819</v>
      </c>
      <c r="B1452" s="2" t="str">
        <f t="shared" si="66"/>
        <v>SG</v>
      </c>
      <c r="C1452" s="4" t="s">
        <v>927</v>
      </c>
      <c r="D1452" s="4" t="s">
        <v>0</v>
      </c>
      <c r="E1452" s="4" t="s">
        <v>12</v>
      </c>
      <c r="F1452" s="2" t="s">
        <v>0</v>
      </c>
      <c r="G1452" s="2" t="str">
        <f t="shared" si="68"/>
        <v>06</v>
      </c>
      <c r="H1452" s="3">
        <v>1000</v>
      </c>
    </row>
    <row r="1453" spans="1:8" x14ac:dyDescent="0.25">
      <c r="A1453" s="2" t="str">
        <f>"00036820"</f>
        <v>00036820</v>
      </c>
      <c r="B1453" s="2" t="str">
        <f t="shared" si="66"/>
        <v>SG</v>
      </c>
      <c r="C1453" s="4" t="s">
        <v>928</v>
      </c>
      <c r="D1453" s="4" t="s">
        <v>0</v>
      </c>
      <c r="E1453" s="4" t="s">
        <v>12</v>
      </c>
      <c r="F1453" s="2" t="s">
        <v>0</v>
      </c>
      <c r="G1453" s="2" t="str">
        <f t="shared" si="68"/>
        <v>06</v>
      </c>
      <c r="H1453" s="3">
        <v>1000</v>
      </c>
    </row>
    <row r="1454" spans="1:8" x14ac:dyDescent="0.25">
      <c r="A1454" s="2" t="str">
        <f>"00036821"</f>
        <v>00036821</v>
      </c>
      <c r="B1454" s="2" t="str">
        <f t="shared" si="66"/>
        <v>SG</v>
      </c>
      <c r="C1454" s="4" t="s">
        <v>929</v>
      </c>
      <c r="D1454" s="4" t="s">
        <v>0</v>
      </c>
      <c r="E1454" s="4" t="s">
        <v>12</v>
      </c>
      <c r="F1454" s="2" t="s">
        <v>0</v>
      </c>
      <c r="G1454" s="2" t="str">
        <f t="shared" si="68"/>
        <v>06</v>
      </c>
      <c r="H1454" s="3">
        <v>1000</v>
      </c>
    </row>
    <row r="1455" spans="1:8" x14ac:dyDescent="0.25">
      <c r="A1455" s="2" t="str">
        <f>"00036825"</f>
        <v>00036825</v>
      </c>
      <c r="B1455" s="2" t="str">
        <f t="shared" si="66"/>
        <v>SG</v>
      </c>
      <c r="C1455" s="4" t="s">
        <v>930</v>
      </c>
      <c r="D1455" s="4" t="s">
        <v>0</v>
      </c>
      <c r="E1455" s="4" t="s">
        <v>12</v>
      </c>
      <c r="F1455" s="2" t="s">
        <v>0</v>
      </c>
      <c r="G1455" s="2" t="str">
        <f t="shared" si="68"/>
        <v>06</v>
      </c>
      <c r="H1455" s="3">
        <v>1000</v>
      </c>
    </row>
    <row r="1456" spans="1:8" ht="29.25" x14ac:dyDescent="0.25">
      <c r="A1456" s="2" t="str">
        <f>"00036830"</f>
        <v>00036830</v>
      </c>
      <c r="B1456" s="2" t="str">
        <f t="shared" si="66"/>
        <v>SG</v>
      </c>
      <c r="C1456" s="4" t="s">
        <v>931</v>
      </c>
      <c r="D1456" s="4" t="s">
        <v>0</v>
      </c>
      <c r="E1456" s="4" t="s">
        <v>12</v>
      </c>
      <c r="F1456" s="2" t="s">
        <v>0</v>
      </c>
      <c r="G1456" s="2" t="str">
        <f t="shared" si="68"/>
        <v>06</v>
      </c>
      <c r="H1456" s="3">
        <v>1000</v>
      </c>
    </row>
    <row r="1457" spans="1:8" ht="29.25" x14ac:dyDescent="0.25">
      <c r="A1457" s="2" t="str">
        <f>"00036831"</f>
        <v>00036831</v>
      </c>
      <c r="B1457" s="2" t="str">
        <f t="shared" si="66"/>
        <v>SG</v>
      </c>
      <c r="C1457" s="4" t="s">
        <v>932</v>
      </c>
      <c r="D1457" s="4" t="s">
        <v>0</v>
      </c>
      <c r="E1457" s="4" t="s">
        <v>12</v>
      </c>
      <c r="F1457" s="2" t="s">
        <v>0</v>
      </c>
      <c r="G1457" s="2" t="str">
        <f t="shared" si="68"/>
        <v>06</v>
      </c>
      <c r="H1457" s="3">
        <v>1000</v>
      </c>
    </row>
    <row r="1458" spans="1:8" x14ac:dyDescent="0.25">
      <c r="A1458" s="2" t="str">
        <f>"00036832"</f>
        <v>00036832</v>
      </c>
      <c r="B1458" s="2" t="str">
        <f t="shared" si="66"/>
        <v>SG</v>
      </c>
      <c r="C1458" s="4" t="s">
        <v>933</v>
      </c>
      <c r="D1458" s="4" t="s">
        <v>0</v>
      </c>
      <c r="E1458" s="4" t="s">
        <v>12</v>
      </c>
      <c r="F1458" s="2" t="s">
        <v>0</v>
      </c>
      <c r="G1458" s="2" t="str">
        <f t="shared" si="68"/>
        <v>06</v>
      </c>
      <c r="H1458" s="3">
        <v>1000</v>
      </c>
    </row>
    <row r="1459" spans="1:8" x14ac:dyDescent="0.25">
      <c r="A1459" s="2" t="str">
        <f>"00036833"</f>
        <v>00036833</v>
      </c>
      <c r="B1459" s="2" t="str">
        <f t="shared" si="66"/>
        <v>SG</v>
      </c>
      <c r="C1459" s="4" t="s">
        <v>934</v>
      </c>
      <c r="D1459" s="4" t="s">
        <v>0</v>
      </c>
      <c r="E1459" s="4" t="s">
        <v>12</v>
      </c>
      <c r="F1459" s="2" t="s">
        <v>0</v>
      </c>
      <c r="G1459" s="2" t="str">
        <f t="shared" si="68"/>
        <v>06</v>
      </c>
      <c r="H1459" s="3">
        <v>1000</v>
      </c>
    </row>
    <row r="1460" spans="1:8" x14ac:dyDescent="0.25">
      <c r="A1460" s="2" t="str">
        <f>"00036835"</f>
        <v>00036835</v>
      </c>
      <c r="B1460" s="2" t="str">
        <f t="shared" si="66"/>
        <v>SG</v>
      </c>
      <c r="C1460" s="4" t="s">
        <v>935</v>
      </c>
      <c r="D1460" s="4" t="s">
        <v>0</v>
      </c>
      <c r="E1460" s="4" t="s">
        <v>12</v>
      </c>
      <c r="F1460" s="2" t="s">
        <v>0</v>
      </c>
      <c r="G1460" s="2" t="str">
        <f>"03"</f>
        <v>03</v>
      </c>
      <c r="H1460" s="3">
        <v>637</v>
      </c>
    </row>
    <row r="1461" spans="1:8" ht="29.25" x14ac:dyDescent="0.25">
      <c r="A1461" s="2" t="str">
        <f>"00036860"</f>
        <v>00036860</v>
      </c>
      <c r="B1461" s="2" t="str">
        <f t="shared" si="66"/>
        <v>SG</v>
      </c>
      <c r="C1461" s="4" t="s">
        <v>936</v>
      </c>
      <c r="D1461" s="4" t="s">
        <v>0</v>
      </c>
      <c r="E1461" s="4" t="s">
        <v>12</v>
      </c>
      <c r="F1461" s="2" t="s">
        <v>0</v>
      </c>
      <c r="G1461" s="2" t="str">
        <f>"01"</f>
        <v>01</v>
      </c>
      <c r="H1461" s="3">
        <v>413</v>
      </c>
    </row>
    <row r="1462" spans="1:8" x14ac:dyDescent="0.25">
      <c r="A1462" s="2" t="str">
        <f>"00036861"</f>
        <v>00036861</v>
      </c>
      <c r="B1462" s="2" t="str">
        <f t="shared" si="66"/>
        <v>SG</v>
      </c>
      <c r="C1462" s="4" t="s">
        <v>937</v>
      </c>
      <c r="D1462" s="4" t="s">
        <v>0</v>
      </c>
      <c r="E1462" s="4" t="s">
        <v>12</v>
      </c>
      <c r="F1462" s="2" t="s">
        <v>0</v>
      </c>
      <c r="G1462" s="2" t="str">
        <f>"03"</f>
        <v>03</v>
      </c>
      <c r="H1462" s="3">
        <v>637</v>
      </c>
    </row>
    <row r="1463" spans="1:8" ht="29.25" x14ac:dyDescent="0.25">
      <c r="A1463" s="2" t="str">
        <f>"00037500"</f>
        <v>00037500</v>
      </c>
      <c r="B1463" s="2" t="str">
        <f t="shared" si="66"/>
        <v>SG</v>
      </c>
      <c r="C1463" s="4" t="s">
        <v>938</v>
      </c>
      <c r="D1463" s="4" t="s">
        <v>0</v>
      </c>
      <c r="E1463" s="4" t="s">
        <v>12</v>
      </c>
      <c r="F1463" s="2" t="s">
        <v>0</v>
      </c>
      <c r="G1463" s="2" t="str">
        <f>"03"</f>
        <v>03</v>
      </c>
      <c r="H1463" s="3">
        <v>637</v>
      </c>
    </row>
    <row r="1464" spans="1:8" x14ac:dyDescent="0.25">
      <c r="A1464" s="2" t="str">
        <f>"00037607"</f>
        <v>00037607</v>
      </c>
      <c r="B1464" s="2" t="str">
        <f t="shared" si="66"/>
        <v>SG</v>
      </c>
      <c r="C1464" s="4" t="s">
        <v>939</v>
      </c>
      <c r="D1464" s="4" t="s">
        <v>0</v>
      </c>
      <c r="E1464" s="4" t="s">
        <v>12</v>
      </c>
      <c r="F1464" s="2" t="s">
        <v>0</v>
      </c>
      <c r="G1464" s="2" t="str">
        <f>"03"</f>
        <v>03</v>
      </c>
      <c r="H1464" s="3">
        <v>637</v>
      </c>
    </row>
    <row r="1465" spans="1:8" ht="29.25" x14ac:dyDescent="0.25">
      <c r="A1465" s="2" t="str">
        <f>"00037609"</f>
        <v>00037609</v>
      </c>
      <c r="B1465" s="2" t="str">
        <f t="shared" si="66"/>
        <v>SG</v>
      </c>
      <c r="C1465" s="4" t="s">
        <v>940</v>
      </c>
      <c r="D1465" s="4" t="s">
        <v>0</v>
      </c>
      <c r="E1465" s="4" t="s">
        <v>12</v>
      </c>
      <c r="F1465" s="2" t="s">
        <v>0</v>
      </c>
      <c r="G1465" s="2" t="str">
        <f>"01"</f>
        <v>01</v>
      </c>
      <c r="H1465" s="3">
        <v>413</v>
      </c>
    </row>
    <row r="1466" spans="1:8" x14ac:dyDescent="0.25">
      <c r="A1466" s="2" t="str">
        <f>"00037650"</f>
        <v>00037650</v>
      </c>
      <c r="B1466" s="2" t="str">
        <f t="shared" si="66"/>
        <v>SG</v>
      </c>
      <c r="C1466" s="4" t="s">
        <v>941</v>
      </c>
      <c r="D1466" s="4" t="s">
        <v>101</v>
      </c>
      <c r="E1466" s="4" t="s">
        <v>12</v>
      </c>
      <c r="F1466" s="2" t="s">
        <v>0</v>
      </c>
      <c r="G1466" s="2" t="str">
        <f t="shared" ref="G1466:G1475" si="69">"03"</f>
        <v>03</v>
      </c>
      <c r="H1466" s="3">
        <v>637</v>
      </c>
    </row>
    <row r="1467" spans="1:8" x14ac:dyDescent="0.25">
      <c r="A1467" s="2" t="str">
        <f>"00037700"</f>
        <v>00037700</v>
      </c>
      <c r="B1467" s="2" t="str">
        <f t="shared" si="66"/>
        <v>SG</v>
      </c>
      <c r="C1467" s="4" t="s">
        <v>942</v>
      </c>
      <c r="D1467" s="4" t="s">
        <v>0</v>
      </c>
      <c r="E1467" s="4" t="s">
        <v>12</v>
      </c>
      <c r="F1467" s="2" t="s">
        <v>0</v>
      </c>
      <c r="G1467" s="2" t="str">
        <f t="shared" si="69"/>
        <v>03</v>
      </c>
      <c r="H1467" s="3">
        <v>637</v>
      </c>
    </row>
    <row r="1468" spans="1:8" ht="29.25" x14ac:dyDescent="0.25">
      <c r="A1468" s="2" t="str">
        <f>"00037718"</f>
        <v>00037718</v>
      </c>
      <c r="B1468" s="2" t="str">
        <f t="shared" si="66"/>
        <v>SG</v>
      </c>
      <c r="C1468" s="4" t="s">
        <v>943</v>
      </c>
      <c r="D1468" s="4" t="s">
        <v>0</v>
      </c>
      <c r="E1468" s="4" t="s">
        <v>12</v>
      </c>
      <c r="F1468" s="2" t="s">
        <v>0</v>
      </c>
      <c r="G1468" s="2" t="str">
        <f t="shared" si="69"/>
        <v>03</v>
      </c>
      <c r="H1468" s="3">
        <v>637</v>
      </c>
    </row>
    <row r="1469" spans="1:8" ht="29.25" x14ac:dyDescent="0.25">
      <c r="A1469" s="2" t="str">
        <f>"00037722"</f>
        <v>00037722</v>
      </c>
      <c r="B1469" s="2" t="str">
        <f t="shared" si="66"/>
        <v>SG</v>
      </c>
      <c r="C1469" s="4" t="s">
        <v>944</v>
      </c>
      <c r="D1469" s="4" t="s">
        <v>0</v>
      </c>
      <c r="E1469" s="4" t="s">
        <v>12</v>
      </c>
      <c r="F1469" s="2" t="s">
        <v>0</v>
      </c>
      <c r="G1469" s="2" t="str">
        <f t="shared" si="69"/>
        <v>03</v>
      </c>
      <c r="H1469" s="3">
        <v>637</v>
      </c>
    </row>
    <row r="1470" spans="1:8" ht="29.25" x14ac:dyDescent="0.25">
      <c r="A1470" s="2" t="str">
        <f>"00037735"</f>
        <v>00037735</v>
      </c>
      <c r="B1470" s="2" t="str">
        <f t="shared" si="66"/>
        <v>SG</v>
      </c>
      <c r="C1470" s="4" t="s">
        <v>945</v>
      </c>
      <c r="D1470" s="4" t="s">
        <v>0</v>
      </c>
      <c r="E1470" s="4" t="s">
        <v>12</v>
      </c>
      <c r="F1470" s="2" t="s">
        <v>0</v>
      </c>
      <c r="G1470" s="2" t="str">
        <f t="shared" si="69"/>
        <v>03</v>
      </c>
      <c r="H1470" s="3">
        <v>637</v>
      </c>
    </row>
    <row r="1471" spans="1:8" x14ac:dyDescent="0.25">
      <c r="A1471" s="2" t="str">
        <f>"00037760"</f>
        <v>00037760</v>
      </c>
      <c r="B1471" s="2" t="str">
        <f t="shared" si="66"/>
        <v>SG</v>
      </c>
      <c r="C1471" s="4" t="s">
        <v>946</v>
      </c>
      <c r="D1471" s="4" t="s">
        <v>0</v>
      </c>
      <c r="E1471" s="4" t="s">
        <v>12</v>
      </c>
      <c r="F1471" s="2" t="s">
        <v>0</v>
      </c>
      <c r="G1471" s="2" t="str">
        <f t="shared" si="69"/>
        <v>03</v>
      </c>
      <c r="H1471" s="3">
        <v>637</v>
      </c>
    </row>
    <row r="1472" spans="1:8" ht="43.5" x14ac:dyDescent="0.25">
      <c r="A1472" s="2" t="str">
        <f>"00037761"</f>
        <v>00037761</v>
      </c>
      <c r="B1472" s="2" t="str">
        <f t="shared" si="66"/>
        <v>SG</v>
      </c>
      <c r="C1472" s="4" t="s">
        <v>947</v>
      </c>
      <c r="D1472" s="4" t="s">
        <v>0</v>
      </c>
      <c r="E1472" s="4" t="s">
        <v>12</v>
      </c>
      <c r="F1472" s="2" t="s">
        <v>0</v>
      </c>
      <c r="G1472" s="2" t="str">
        <f t="shared" si="69"/>
        <v>03</v>
      </c>
      <c r="H1472" s="3">
        <v>637</v>
      </c>
    </row>
    <row r="1473" spans="1:8" x14ac:dyDescent="0.25">
      <c r="A1473" s="2" t="str">
        <f>"00037780"</f>
        <v>00037780</v>
      </c>
      <c r="B1473" s="2" t="str">
        <f t="shared" si="66"/>
        <v>SG</v>
      </c>
      <c r="C1473" s="4" t="s">
        <v>948</v>
      </c>
      <c r="D1473" s="4" t="s">
        <v>0</v>
      </c>
      <c r="E1473" s="4" t="s">
        <v>12</v>
      </c>
      <c r="F1473" s="2" t="s">
        <v>0</v>
      </c>
      <c r="G1473" s="2" t="str">
        <f t="shared" si="69"/>
        <v>03</v>
      </c>
      <c r="H1473" s="3">
        <v>637</v>
      </c>
    </row>
    <row r="1474" spans="1:8" x14ac:dyDescent="0.25">
      <c r="A1474" s="2" t="str">
        <f>"00037785"</f>
        <v>00037785</v>
      </c>
      <c r="B1474" s="2" t="str">
        <f t="shared" si="66"/>
        <v>SG</v>
      </c>
      <c r="C1474" s="4" t="s">
        <v>949</v>
      </c>
      <c r="D1474" s="4" t="s">
        <v>0</v>
      </c>
      <c r="E1474" s="4" t="s">
        <v>12</v>
      </c>
      <c r="F1474" s="2" t="s">
        <v>0</v>
      </c>
      <c r="G1474" s="2" t="str">
        <f t="shared" si="69"/>
        <v>03</v>
      </c>
      <c r="H1474" s="3">
        <v>637</v>
      </c>
    </row>
    <row r="1475" spans="1:8" ht="29.25" x14ac:dyDescent="0.25">
      <c r="A1475" s="2" t="str">
        <f>"00037790"</f>
        <v>00037790</v>
      </c>
      <c r="B1475" s="2" t="str">
        <f t="shared" si="66"/>
        <v>SG</v>
      </c>
      <c r="C1475" s="4" t="s">
        <v>950</v>
      </c>
      <c r="D1475" s="4" t="s">
        <v>0</v>
      </c>
      <c r="E1475" s="4" t="s">
        <v>12</v>
      </c>
      <c r="F1475" s="2" t="s">
        <v>0</v>
      </c>
      <c r="G1475" s="2" t="str">
        <f t="shared" si="69"/>
        <v>03</v>
      </c>
      <c r="H1475" s="3">
        <v>637</v>
      </c>
    </row>
    <row r="1476" spans="1:8" ht="29.25" x14ac:dyDescent="0.25">
      <c r="A1476" s="2" t="str">
        <f>"00038300"</f>
        <v>00038300</v>
      </c>
      <c r="B1476" s="2" t="str">
        <f t="shared" si="66"/>
        <v>SG</v>
      </c>
      <c r="C1476" s="4" t="s">
        <v>951</v>
      </c>
      <c r="D1476" s="4" t="s">
        <v>0</v>
      </c>
      <c r="E1476" s="4" t="s">
        <v>12</v>
      </c>
      <c r="F1476" s="2" t="s">
        <v>0</v>
      </c>
      <c r="G1476" s="2" t="str">
        <f>"01"</f>
        <v>01</v>
      </c>
      <c r="H1476" s="3">
        <v>413</v>
      </c>
    </row>
    <row r="1477" spans="1:8" ht="29.25" x14ac:dyDescent="0.25">
      <c r="A1477" s="2" t="str">
        <f>"00038305"</f>
        <v>00038305</v>
      </c>
      <c r="B1477" s="2" t="str">
        <f t="shared" si="66"/>
        <v>SG</v>
      </c>
      <c r="C1477" s="4" t="s">
        <v>951</v>
      </c>
      <c r="D1477" s="4" t="s">
        <v>0</v>
      </c>
      <c r="E1477" s="4" t="s">
        <v>12</v>
      </c>
      <c r="F1477" s="2" t="s">
        <v>0</v>
      </c>
      <c r="G1477" s="2" t="str">
        <f>"02"</f>
        <v>02</v>
      </c>
      <c r="H1477" s="3">
        <v>552</v>
      </c>
    </row>
    <row r="1478" spans="1:8" ht="29.25" x14ac:dyDescent="0.25">
      <c r="A1478" s="2" t="str">
        <f>"00038308"</f>
        <v>00038308</v>
      </c>
      <c r="B1478" s="2" t="str">
        <f t="shared" si="66"/>
        <v>SG</v>
      </c>
      <c r="C1478" s="4" t="s">
        <v>952</v>
      </c>
      <c r="D1478" s="4" t="s">
        <v>0</v>
      </c>
      <c r="E1478" s="4" t="s">
        <v>12</v>
      </c>
      <c r="F1478" s="2" t="s">
        <v>0</v>
      </c>
      <c r="G1478" s="2" t="str">
        <f>"03"</f>
        <v>03</v>
      </c>
      <c r="H1478" s="3">
        <v>637</v>
      </c>
    </row>
    <row r="1479" spans="1:8" ht="29.25" x14ac:dyDescent="0.25">
      <c r="A1479" s="2" t="str">
        <f>"00038500"</f>
        <v>00038500</v>
      </c>
      <c r="B1479" s="2" t="str">
        <f t="shared" si="66"/>
        <v>SG</v>
      </c>
      <c r="C1479" s="4" t="s">
        <v>953</v>
      </c>
      <c r="D1479" s="4" t="s">
        <v>0</v>
      </c>
      <c r="E1479" s="4" t="s">
        <v>12</v>
      </c>
      <c r="F1479" s="2" t="s">
        <v>0</v>
      </c>
      <c r="G1479" s="2" t="str">
        <f>"03"</f>
        <v>03</v>
      </c>
      <c r="H1479" s="3">
        <v>637</v>
      </c>
    </row>
    <row r="1480" spans="1:8" ht="29.25" x14ac:dyDescent="0.25">
      <c r="A1480" s="2" t="str">
        <f>"00038505"</f>
        <v>00038505</v>
      </c>
      <c r="B1480" s="2" t="str">
        <f t="shared" si="66"/>
        <v>SG</v>
      </c>
      <c r="C1480" s="4" t="s">
        <v>954</v>
      </c>
      <c r="D1480" s="4" t="s">
        <v>0</v>
      </c>
      <c r="E1480" s="4" t="s">
        <v>12</v>
      </c>
      <c r="F1480" s="2" t="s">
        <v>0</v>
      </c>
      <c r="G1480" s="2" t="str">
        <f>"01"</f>
        <v>01</v>
      </c>
      <c r="H1480" s="3">
        <v>413</v>
      </c>
    </row>
    <row r="1481" spans="1:8" ht="29.25" x14ac:dyDescent="0.25">
      <c r="A1481" s="2" t="str">
        <f>"00038510"</f>
        <v>00038510</v>
      </c>
      <c r="B1481" s="2" t="str">
        <f t="shared" si="66"/>
        <v>SG</v>
      </c>
      <c r="C1481" s="4" t="s">
        <v>953</v>
      </c>
      <c r="D1481" s="4" t="s">
        <v>0</v>
      </c>
      <c r="E1481" s="4" t="s">
        <v>12</v>
      </c>
      <c r="F1481" s="2" t="s">
        <v>0</v>
      </c>
      <c r="G1481" s="2" t="str">
        <f>"03"</f>
        <v>03</v>
      </c>
      <c r="H1481" s="3">
        <v>637</v>
      </c>
    </row>
    <row r="1482" spans="1:8" ht="29.25" x14ac:dyDescent="0.25">
      <c r="A1482" s="2" t="str">
        <f>"00038520"</f>
        <v>00038520</v>
      </c>
      <c r="B1482" s="2" t="str">
        <f t="shared" si="66"/>
        <v>SG</v>
      </c>
      <c r="C1482" s="4" t="s">
        <v>953</v>
      </c>
      <c r="D1482" s="4" t="s">
        <v>0</v>
      </c>
      <c r="E1482" s="4" t="s">
        <v>12</v>
      </c>
      <c r="F1482" s="2" t="s">
        <v>0</v>
      </c>
      <c r="G1482" s="2" t="str">
        <f>"03"</f>
        <v>03</v>
      </c>
      <c r="H1482" s="3">
        <v>637</v>
      </c>
    </row>
    <row r="1483" spans="1:8" ht="29.25" x14ac:dyDescent="0.25">
      <c r="A1483" s="2" t="str">
        <f>"00038525"</f>
        <v>00038525</v>
      </c>
      <c r="B1483" s="2" t="str">
        <f t="shared" si="66"/>
        <v>SG</v>
      </c>
      <c r="C1483" s="4" t="s">
        <v>953</v>
      </c>
      <c r="D1483" s="4" t="s">
        <v>0</v>
      </c>
      <c r="E1483" s="4" t="s">
        <v>12</v>
      </c>
      <c r="F1483" s="2" t="s">
        <v>0</v>
      </c>
      <c r="G1483" s="2" t="str">
        <f>"03"</f>
        <v>03</v>
      </c>
      <c r="H1483" s="3">
        <v>637</v>
      </c>
    </row>
    <row r="1484" spans="1:8" ht="29.25" x14ac:dyDescent="0.25">
      <c r="A1484" s="2" t="str">
        <f>"00038530"</f>
        <v>00038530</v>
      </c>
      <c r="B1484" s="2" t="str">
        <f t="shared" si="66"/>
        <v>SG</v>
      </c>
      <c r="C1484" s="4" t="s">
        <v>953</v>
      </c>
      <c r="D1484" s="4" t="s">
        <v>0</v>
      </c>
      <c r="E1484" s="4" t="s">
        <v>12</v>
      </c>
      <c r="F1484" s="2" t="s">
        <v>0</v>
      </c>
      <c r="G1484" s="2" t="str">
        <f>"03"</f>
        <v>03</v>
      </c>
      <c r="H1484" s="3">
        <v>637</v>
      </c>
    </row>
    <row r="1485" spans="1:8" ht="29.25" x14ac:dyDescent="0.25">
      <c r="A1485" s="2" t="str">
        <f>"00038542"</f>
        <v>00038542</v>
      </c>
      <c r="B1485" s="2" t="str">
        <f t="shared" ref="B1485:B1548" si="70">"SG"</f>
        <v>SG</v>
      </c>
      <c r="C1485" s="4" t="s">
        <v>955</v>
      </c>
      <c r="D1485" s="4" t="s">
        <v>0</v>
      </c>
      <c r="E1485" s="4" t="s">
        <v>12</v>
      </c>
      <c r="F1485" s="2" t="s">
        <v>0</v>
      </c>
      <c r="G1485" s="2" t="str">
        <f>"08"</f>
        <v>08</v>
      </c>
      <c r="H1485" s="3">
        <v>1183</v>
      </c>
    </row>
    <row r="1486" spans="1:8" ht="29.25" x14ac:dyDescent="0.25">
      <c r="A1486" s="2" t="str">
        <f>"00038550"</f>
        <v>00038550</v>
      </c>
      <c r="B1486" s="2" t="str">
        <f t="shared" si="70"/>
        <v>SG</v>
      </c>
      <c r="C1486" s="4" t="s">
        <v>956</v>
      </c>
      <c r="D1486" s="4" t="s">
        <v>0</v>
      </c>
      <c r="E1486" s="4" t="s">
        <v>12</v>
      </c>
      <c r="F1486" s="2" t="s">
        <v>0</v>
      </c>
      <c r="G1486" s="2" t="str">
        <f>"03"</f>
        <v>03</v>
      </c>
      <c r="H1486" s="3">
        <v>637</v>
      </c>
    </row>
    <row r="1487" spans="1:8" ht="29.25" x14ac:dyDescent="0.25">
      <c r="A1487" s="2" t="str">
        <f>"00038555"</f>
        <v>00038555</v>
      </c>
      <c r="B1487" s="2" t="str">
        <f t="shared" si="70"/>
        <v>SG</v>
      </c>
      <c r="C1487" s="4" t="s">
        <v>956</v>
      </c>
      <c r="D1487" s="4" t="s">
        <v>0</v>
      </c>
      <c r="E1487" s="4" t="s">
        <v>12</v>
      </c>
      <c r="F1487" s="2" t="s">
        <v>0</v>
      </c>
      <c r="G1487" s="2" t="str">
        <f>"03"</f>
        <v>03</v>
      </c>
      <c r="H1487" s="3">
        <v>637</v>
      </c>
    </row>
    <row r="1488" spans="1:8" ht="29.25" x14ac:dyDescent="0.25">
      <c r="A1488" s="2" t="str">
        <f>"00038570"</f>
        <v>00038570</v>
      </c>
      <c r="B1488" s="2" t="str">
        <f t="shared" si="70"/>
        <v>SG</v>
      </c>
      <c r="C1488" s="4" t="s">
        <v>957</v>
      </c>
      <c r="D1488" s="4" t="s">
        <v>0</v>
      </c>
      <c r="E1488" s="4" t="s">
        <v>12</v>
      </c>
      <c r="F1488" s="2" t="s">
        <v>0</v>
      </c>
      <c r="G1488" s="2" t="str">
        <f>"08"</f>
        <v>08</v>
      </c>
      <c r="H1488" s="3">
        <v>1183</v>
      </c>
    </row>
    <row r="1489" spans="1:8" ht="29.25" x14ac:dyDescent="0.25">
      <c r="A1489" s="2" t="str">
        <f>"00038571"</f>
        <v>00038571</v>
      </c>
      <c r="B1489" s="2" t="str">
        <f t="shared" si="70"/>
        <v>SG</v>
      </c>
      <c r="C1489" s="4" t="s">
        <v>958</v>
      </c>
      <c r="D1489" s="4" t="s">
        <v>0</v>
      </c>
      <c r="E1489" s="4" t="s">
        <v>12</v>
      </c>
      <c r="F1489" s="2" t="s">
        <v>0</v>
      </c>
      <c r="G1489" s="2" t="str">
        <f>"07"</f>
        <v>07</v>
      </c>
      <c r="H1489" s="3">
        <v>1233</v>
      </c>
    </row>
    <row r="1490" spans="1:8" ht="29.25" x14ac:dyDescent="0.25">
      <c r="A1490" s="2" t="str">
        <f>"00038572"</f>
        <v>00038572</v>
      </c>
      <c r="B1490" s="2" t="str">
        <f t="shared" si="70"/>
        <v>SG</v>
      </c>
      <c r="C1490" s="4" t="s">
        <v>958</v>
      </c>
      <c r="D1490" s="4" t="s">
        <v>0</v>
      </c>
      <c r="E1490" s="4" t="s">
        <v>12</v>
      </c>
      <c r="F1490" s="2" t="s">
        <v>0</v>
      </c>
      <c r="G1490" s="2" t="str">
        <f>"09"</f>
        <v>09</v>
      </c>
      <c r="H1490" s="3">
        <v>1662</v>
      </c>
    </row>
    <row r="1491" spans="1:8" ht="57.75" x14ac:dyDescent="0.25">
      <c r="A1491" s="2" t="str">
        <f>"00038573"</f>
        <v>00038573</v>
      </c>
      <c r="B1491" s="2" t="str">
        <f t="shared" si="70"/>
        <v>SG</v>
      </c>
      <c r="C1491" s="4" t="s">
        <v>959</v>
      </c>
      <c r="D1491" s="4" t="s">
        <v>0</v>
      </c>
      <c r="E1491" s="4" t="s">
        <v>12</v>
      </c>
      <c r="F1491" s="2" t="s">
        <v>0</v>
      </c>
      <c r="G1491" s="2" t="str">
        <f>"09"</f>
        <v>09</v>
      </c>
      <c r="H1491" s="3">
        <v>1662</v>
      </c>
    </row>
    <row r="1492" spans="1:8" ht="29.25" x14ac:dyDescent="0.25">
      <c r="A1492" s="2" t="str">
        <f>"00038740"</f>
        <v>00038740</v>
      </c>
      <c r="B1492" s="2" t="str">
        <f t="shared" si="70"/>
        <v>SG</v>
      </c>
      <c r="C1492" s="4" t="s">
        <v>960</v>
      </c>
      <c r="D1492" s="4" t="s">
        <v>0</v>
      </c>
      <c r="E1492" s="4" t="s">
        <v>12</v>
      </c>
      <c r="F1492" s="2" t="s">
        <v>0</v>
      </c>
      <c r="G1492" s="2" t="str">
        <f>"08"</f>
        <v>08</v>
      </c>
      <c r="H1492" s="3">
        <v>1183</v>
      </c>
    </row>
    <row r="1493" spans="1:8" ht="29.25" x14ac:dyDescent="0.25">
      <c r="A1493" s="2" t="str">
        <f>"00038745"</f>
        <v>00038745</v>
      </c>
      <c r="B1493" s="2" t="str">
        <f t="shared" si="70"/>
        <v>SG</v>
      </c>
      <c r="C1493" s="4" t="s">
        <v>960</v>
      </c>
      <c r="D1493" s="4" t="s">
        <v>0</v>
      </c>
      <c r="E1493" s="4" t="s">
        <v>12</v>
      </c>
      <c r="F1493" s="2" t="s">
        <v>0</v>
      </c>
      <c r="G1493" s="2" t="str">
        <f>"08"</f>
        <v>08</v>
      </c>
      <c r="H1493" s="3">
        <v>1183</v>
      </c>
    </row>
    <row r="1494" spans="1:8" ht="29.25" x14ac:dyDescent="0.25">
      <c r="A1494" s="2" t="str">
        <f>"00038760"</f>
        <v>00038760</v>
      </c>
      <c r="B1494" s="2" t="str">
        <f t="shared" si="70"/>
        <v>SG</v>
      </c>
      <c r="C1494" s="4" t="s">
        <v>961</v>
      </c>
      <c r="D1494" s="4" t="s">
        <v>0</v>
      </c>
      <c r="E1494" s="4" t="s">
        <v>12</v>
      </c>
      <c r="F1494" s="2" t="s">
        <v>0</v>
      </c>
      <c r="G1494" s="2" t="str">
        <f>"03"</f>
        <v>03</v>
      </c>
      <c r="H1494" s="3">
        <v>637</v>
      </c>
    </row>
    <row r="1495" spans="1:8" x14ac:dyDescent="0.25">
      <c r="A1495" s="2" t="str">
        <f>"00040500"</f>
        <v>00040500</v>
      </c>
      <c r="B1495" s="2" t="str">
        <f t="shared" si="70"/>
        <v>SG</v>
      </c>
      <c r="C1495" s="4" t="s">
        <v>962</v>
      </c>
      <c r="D1495" s="4" t="s">
        <v>0</v>
      </c>
      <c r="E1495" s="4" t="s">
        <v>12</v>
      </c>
      <c r="F1495" s="2" t="s">
        <v>0</v>
      </c>
      <c r="G1495" s="2" t="str">
        <f>"01"</f>
        <v>01</v>
      </c>
      <c r="H1495" s="3">
        <v>413</v>
      </c>
    </row>
    <row r="1496" spans="1:8" x14ac:dyDescent="0.25">
      <c r="A1496" s="2" t="str">
        <f>"00040510"</f>
        <v>00040510</v>
      </c>
      <c r="B1496" s="2" t="str">
        <f t="shared" si="70"/>
        <v>SG</v>
      </c>
      <c r="C1496" s="4" t="s">
        <v>962</v>
      </c>
      <c r="D1496" s="4" t="s">
        <v>0</v>
      </c>
      <c r="E1496" s="4" t="s">
        <v>12</v>
      </c>
      <c r="F1496" s="2" t="s">
        <v>0</v>
      </c>
      <c r="G1496" s="2" t="str">
        <f>"02"</f>
        <v>02</v>
      </c>
      <c r="H1496" s="3">
        <v>552</v>
      </c>
    </row>
    <row r="1497" spans="1:8" x14ac:dyDescent="0.25">
      <c r="A1497" s="2" t="str">
        <f>"00040520"</f>
        <v>00040520</v>
      </c>
      <c r="B1497" s="2" t="str">
        <f t="shared" si="70"/>
        <v>SG</v>
      </c>
      <c r="C1497" s="4" t="s">
        <v>962</v>
      </c>
      <c r="D1497" s="4" t="s">
        <v>0</v>
      </c>
      <c r="E1497" s="4" t="s">
        <v>12</v>
      </c>
      <c r="F1497" s="2" t="s">
        <v>0</v>
      </c>
      <c r="G1497" s="2" t="str">
        <f>"01"</f>
        <v>01</v>
      </c>
      <c r="H1497" s="3">
        <v>413</v>
      </c>
    </row>
    <row r="1498" spans="1:8" ht="29.25" x14ac:dyDescent="0.25">
      <c r="A1498" s="2" t="str">
        <f>"00040525"</f>
        <v>00040525</v>
      </c>
      <c r="B1498" s="2" t="str">
        <f t="shared" si="70"/>
        <v>SG</v>
      </c>
      <c r="C1498" s="4" t="s">
        <v>963</v>
      </c>
      <c r="D1498" s="4" t="s">
        <v>0</v>
      </c>
      <c r="E1498" s="4" t="s">
        <v>12</v>
      </c>
      <c r="F1498" s="2" t="s">
        <v>0</v>
      </c>
      <c r="G1498" s="2" t="str">
        <f>"02"</f>
        <v>02</v>
      </c>
      <c r="H1498" s="3">
        <v>552</v>
      </c>
    </row>
    <row r="1499" spans="1:8" ht="29.25" x14ac:dyDescent="0.25">
      <c r="A1499" s="2" t="str">
        <f>"00040527"</f>
        <v>00040527</v>
      </c>
      <c r="B1499" s="2" t="str">
        <f t="shared" si="70"/>
        <v>SG</v>
      </c>
      <c r="C1499" s="4" t="s">
        <v>963</v>
      </c>
      <c r="D1499" s="4" t="s">
        <v>0</v>
      </c>
      <c r="E1499" s="4" t="s">
        <v>12</v>
      </c>
      <c r="F1499" s="2" t="s">
        <v>0</v>
      </c>
      <c r="G1499" s="2" t="str">
        <f>"07"</f>
        <v>07</v>
      </c>
      <c r="H1499" s="3">
        <v>1233</v>
      </c>
    </row>
    <row r="1500" spans="1:8" x14ac:dyDescent="0.25">
      <c r="A1500" s="2" t="str">
        <f>"00040530"</f>
        <v>00040530</v>
      </c>
      <c r="B1500" s="2" t="str">
        <f t="shared" si="70"/>
        <v>SG</v>
      </c>
      <c r="C1500" s="4" t="s">
        <v>964</v>
      </c>
      <c r="D1500" s="4" t="s">
        <v>0</v>
      </c>
      <c r="E1500" s="4" t="s">
        <v>12</v>
      </c>
      <c r="F1500" s="2" t="s">
        <v>0</v>
      </c>
      <c r="G1500" s="2" t="str">
        <f>"02"</f>
        <v>02</v>
      </c>
      <c r="H1500" s="3">
        <v>552</v>
      </c>
    </row>
    <row r="1501" spans="1:8" x14ac:dyDescent="0.25">
      <c r="A1501" s="2" t="str">
        <f>"00040650"</f>
        <v>00040650</v>
      </c>
      <c r="B1501" s="2" t="str">
        <f t="shared" si="70"/>
        <v>SG</v>
      </c>
      <c r="C1501" s="4" t="s">
        <v>965</v>
      </c>
      <c r="D1501" s="4" t="s">
        <v>0</v>
      </c>
      <c r="E1501" s="4" t="s">
        <v>12</v>
      </c>
      <c r="F1501" s="2" t="s">
        <v>0</v>
      </c>
      <c r="G1501" s="2" t="str">
        <f>"01"</f>
        <v>01</v>
      </c>
      <c r="H1501" s="3">
        <v>413</v>
      </c>
    </row>
    <row r="1502" spans="1:8" x14ac:dyDescent="0.25">
      <c r="A1502" s="2" t="str">
        <f>"00040652"</f>
        <v>00040652</v>
      </c>
      <c r="B1502" s="2" t="str">
        <f t="shared" si="70"/>
        <v>SG</v>
      </c>
      <c r="C1502" s="4" t="s">
        <v>965</v>
      </c>
      <c r="D1502" s="4" t="s">
        <v>0</v>
      </c>
      <c r="E1502" s="4" t="s">
        <v>12</v>
      </c>
      <c r="F1502" s="2" t="s">
        <v>0</v>
      </c>
      <c r="G1502" s="2" t="str">
        <f>"01"</f>
        <v>01</v>
      </c>
      <c r="H1502" s="3">
        <v>413</v>
      </c>
    </row>
    <row r="1503" spans="1:8" x14ac:dyDescent="0.25">
      <c r="A1503" s="2" t="str">
        <f>"00040654"</f>
        <v>00040654</v>
      </c>
      <c r="B1503" s="2" t="str">
        <f t="shared" si="70"/>
        <v>SG</v>
      </c>
      <c r="C1503" s="4" t="s">
        <v>965</v>
      </c>
      <c r="D1503" s="4" t="s">
        <v>0</v>
      </c>
      <c r="E1503" s="4" t="s">
        <v>12</v>
      </c>
      <c r="F1503" s="2" t="s">
        <v>0</v>
      </c>
      <c r="G1503" s="2" t="str">
        <f>"01"</f>
        <v>01</v>
      </c>
      <c r="H1503" s="3">
        <v>413</v>
      </c>
    </row>
    <row r="1504" spans="1:8" x14ac:dyDescent="0.25">
      <c r="A1504" s="2" t="str">
        <f>"00040700"</f>
        <v>00040700</v>
      </c>
      <c r="B1504" s="2" t="str">
        <f t="shared" si="70"/>
        <v>SG</v>
      </c>
      <c r="C1504" s="4" t="s">
        <v>966</v>
      </c>
      <c r="D1504" s="4" t="s">
        <v>0</v>
      </c>
      <c r="E1504" s="4" t="s">
        <v>12</v>
      </c>
      <c r="F1504" s="2" t="s">
        <v>0</v>
      </c>
      <c r="G1504" s="2" t="str">
        <f>"07"</f>
        <v>07</v>
      </c>
      <c r="H1504" s="3">
        <v>1233</v>
      </c>
    </row>
    <row r="1505" spans="1:8" x14ac:dyDescent="0.25">
      <c r="A1505" s="2" t="str">
        <f>"00040701"</f>
        <v>00040701</v>
      </c>
      <c r="B1505" s="2" t="str">
        <f t="shared" si="70"/>
        <v>SG</v>
      </c>
      <c r="C1505" s="4" t="s">
        <v>966</v>
      </c>
      <c r="D1505" s="4" t="s">
        <v>0</v>
      </c>
      <c r="E1505" s="4" t="s">
        <v>12</v>
      </c>
      <c r="F1505" s="2" t="s">
        <v>0</v>
      </c>
      <c r="G1505" s="2" t="str">
        <f>"07"</f>
        <v>07</v>
      </c>
      <c r="H1505" s="3">
        <v>1233</v>
      </c>
    </row>
    <row r="1506" spans="1:8" x14ac:dyDescent="0.25">
      <c r="A1506" s="2" t="str">
        <f>"00040720"</f>
        <v>00040720</v>
      </c>
      <c r="B1506" s="2" t="str">
        <f t="shared" si="70"/>
        <v>SG</v>
      </c>
      <c r="C1506" s="4" t="s">
        <v>966</v>
      </c>
      <c r="D1506" s="4" t="s">
        <v>0</v>
      </c>
      <c r="E1506" s="4" t="s">
        <v>12</v>
      </c>
      <c r="F1506" s="2" t="s">
        <v>0</v>
      </c>
      <c r="G1506" s="2" t="str">
        <f>"07"</f>
        <v>07</v>
      </c>
      <c r="H1506" s="3">
        <v>1233</v>
      </c>
    </row>
    <row r="1507" spans="1:8" x14ac:dyDescent="0.25">
      <c r="A1507" s="2" t="str">
        <f>"00040761"</f>
        <v>00040761</v>
      </c>
      <c r="B1507" s="2" t="str">
        <f t="shared" si="70"/>
        <v>SG</v>
      </c>
      <c r="C1507" s="4" t="s">
        <v>966</v>
      </c>
      <c r="D1507" s="4" t="s">
        <v>0</v>
      </c>
      <c r="E1507" s="4" t="s">
        <v>12</v>
      </c>
      <c r="F1507" s="2" t="s">
        <v>0</v>
      </c>
      <c r="G1507" s="2" t="str">
        <f>"03"</f>
        <v>03</v>
      </c>
      <c r="H1507" s="3">
        <v>637</v>
      </c>
    </row>
    <row r="1508" spans="1:8" ht="29.25" x14ac:dyDescent="0.25">
      <c r="A1508" s="2" t="str">
        <f>"00040801"</f>
        <v>00040801</v>
      </c>
      <c r="B1508" s="2" t="str">
        <f t="shared" si="70"/>
        <v>SG</v>
      </c>
      <c r="C1508" s="4" t="s">
        <v>967</v>
      </c>
      <c r="D1508" s="4" t="s">
        <v>0</v>
      </c>
      <c r="E1508" s="4" t="s">
        <v>12</v>
      </c>
      <c r="F1508" s="2" t="s">
        <v>0</v>
      </c>
      <c r="G1508" s="2" t="str">
        <f>"01"</f>
        <v>01</v>
      </c>
      <c r="H1508" s="3">
        <v>413</v>
      </c>
    </row>
    <row r="1509" spans="1:8" ht="29.25" x14ac:dyDescent="0.25">
      <c r="A1509" s="2" t="str">
        <f>"00040814"</f>
        <v>00040814</v>
      </c>
      <c r="B1509" s="2" t="str">
        <f t="shared" si="70"/>
        <v>SG</v>
      </c>
      <c r="C1509" s="4" t="s">
        <v>968</v>
      </c>
      <c r="D1509" s="4" t="s">
        <v>0</v>
      </c>
      <c r="E1509" s="4" t="s">
        <v>12</v>
      </c>
      <c r="F1509" s="2" t="s">
        <v>0</v>
      </c>
      <c r="G1509" s="2" t="str">
        <f>"02"</f>
        <v>02</v>
      </c>
      <c r="H1509" s="3">
        <v>552</v>
      </c>
    </row>
    <row r="1510" spans="1:8" ht="29.25" x14ac:dyDescent="0.25">
      <c r="A1510" s="2" t="str">
        <f>"00040816"</f>
        <v>00040816</v>
      </c>
      <c r="B1510" s="2" t="str">
        <f t="shared" si="70"/>
        <v>SG</v>
      </c>
      <c r="C1510" s="4" t="s">
        <v>969</v>
      </c>
      <c r="D1510" s="4" t="s">
        <v>0</v>
      </c>
      <c r="E1510" s="4" t="s">
        <v>12</v>
      </c>
      <c r="F1510" s="2" t="s">
        <v>0</v>
      </c>
      <c r="G1510" s="2" t="str">
        <f>"02"</f>
        <v>02</v>
      </c>
      <c r="H1510" s="3">
        <v>552</v>
      </c>
    </row>
    <row r="1511" spans="1:8" ht="29.25" x14ac:dyDescent="0.25">
      <c r="A1511" s="2" t="str">
        <f>"00040818"</f>
        <v>00040818</v>
      </c>
      <c r="B1511" s="2" t="str">
        <f t="shared" si="70"/>
        <v>SG</v>
      </c>
      <c r="C1511" s="4" t="s">
        <v>970</v>
      </c>
      <c r="D1511" s="4" t="s">
        <v>0</v>
      </c>
      <c r="E1511" s="4" t="s">
        <v>12</v>
      </c>
      <c r="F1511" s="2" t="s">
        <v>0</v>
      </c>
      <c r="G1511" s="2" t="str">
        <f>"01"</f>
        <v>01</v>
      </c>
      <c r="H1511" s="3">
        <v>413</v>
      </c>
    </row>
    <row r="1512" spans="1:8" ht="29.25" x14ac:dyDescent="0.25">
      <c r="A1512" s="2" t="str">
        <f>"00040819"</f>
        <v>00040819</v>
      </c>
      <c r="B1512" s="2" t="str">
        <f t="shared" si="70"/>
        <v>SG</v>
      </c>
      <c r="C1512" s="4" t="s">
        <v>971</v>
      </c>
      <c r="D1512" s="4" t="s">
        <v>0</v>
      </c>
      <c r="E1512" s="4" t="s">
        <v>12</v>
      </c>
      <c r="F1512" s="2" t="s">
        <v>0</v>
      </c>
      <c r="G1512" s="2" t="str">
        <f>"01"</f>
        <v>01</v>
      </c>
      <c r="H1512" s="3">
        <v>413</v>
      </c>
    </row>
    <row r="1513" spans="1:8" ht="29.25" x14ac:dyDescent="0.25">
      <c r="A1513" s="2" t="str">
        <f>"00040831"</f>
        <v>00040831</v>
      </c>
      <c r="B1513" s="2" t="str">
        <f t="shared" si="70"/>
        <v>SG</v>
      </c>
      <c r="C1513" s="4" t="s">
        <v>972</v>
      </c>
      <c r="D1513" s="4" t="s">
        <v>0</v>
      </c>
      <c r="E1513" s="4" t="s">
        <v>12</v>
      </c>
      <c r="F1513" s="2" t="s">
        <v>0</v>
      </c>
      <c r="G1513" s="2" t="str">
        <f>"01"</f>
        <v>01</v>
      </c>
      <c r="H1513" s="3">
        <v>413</v>
      </c>
    </row>
    <row r="1514" spans="1:8" ht="29.25" x14ac:dyDescent="0.25">
      <c r="A1514" s="2" t="str">
        <f>"00040840"</f>
        <v>00040840</v>
      </c>
      <c r="B1514" s="2" t="str">
        <f t="shared" si="70"/>
        <v>SG</v>
      </c>
      <c r="C1514" s="4" t="s">
        <v>973</v>
      </c>
      <c r="D1514" s="4" t="s">
        <v>0</v>
      </c>
      <c r="E1514" s="4" t="s">
        <v>12</v>
      </c>
      <c r="F1514" s="2" t="s">
        <v>0</v>
      </c>
      <c r="G1514" s="2" t="str">
        <f>"02"</f>
        <v>02</v>
      </c>
      <c r="H1514" s="3">
        <v>552</v>
      </c>
    </row>
    <row r="1515" spans="1:8" ht="29.25" x14ac:dyDescent="0.25">
      <c r="A1515" s="2" t="str">
        <f>"00040842"</f>
        <v>00040842</v>
      </c>
      <c r="B1515" s="2" t="str">
        <f t="shared" si="70"/>
        <v>SG</v>
      </c>
      <c r="C1515" s="4" t="s">
        <v>973</v>
      </c>
      <c r="D1515" s="4" t="s">
        <v>0</v>
      </c>
      <c r="E1515" s="4" t="s">
        <v>12</v>
      </c>
      <c r="F1515" s="2" t="s">
        <v>0</v>
      </c>
      <c r="G1515" s="2" t="str">
        <f>"03"</f>
        <v>03</v>
      </c>
      <c r="H1515" s="3">
        <v>637</v>
      </c>
    </row>
    <row r="1516" spans="1:8" ht="29.25" x14ac:dyDescent="0.25">
      <c r="A1516" s="2" t="str">
        <f>"00040843"</f>
        <v>00040843</v>
      </c>
      <c r="B1516" s="2" t="str">
        <f t="shared" si="70"/>
        <v>SG</v>
      </c>
      <c r="C1516" s="4" t="s">
        <v>973</v>
      </c>
      <c r="D1516" s="4" t="s">
        <v>0</v>
      </c>
      <c r="E1516" s="4" t="s">
        <v>12</v>
      </c>
      <c r="F1516" s="2" t="s">
        <v>0</v>
      </c>
      <c r="G1516" s="2" t="str">
        <f>"03"</f>
        <v>03</v>
      </c>
      <c r="H1516" s="3">
        <v>637</v>
      </c>
    </row>
    <row r="1517" spans="1:8" ht="29.25" x14ac:dyDescent="0.25">
      <c r="A1517" s="2" t="str">
        <f>"00040844"</f>
        <v>00040844</v>
      </c>
      <c r="B1517" s="2" t="str">
        <f t="shared" si="70"/>
        <v>SG</v>
      </c>
      <c r="C1517" s="4" t="s">
        <v>973</v>
      </c>
      <c r="D1517" s="4" t="s">
        <v>0</v>
      </c>
      <c r="E1517" s="4" t="s">
        <v>12</v>
      </c>
      <c r="F1517" s="2" t="s">
        <v>0</v>
      </c>
      <c r="G1517" s="2" t="str">
        <f>"09"</f>
        <v>09</v>
      </c>
      <c r="H1517" s="3">
        <v>1662</v>
      </c>
    </row>
    <row r="1518" spans="1:8" ht="29.25" x14ac:dyDescent="0.25">
      <c r="A1518" s="2" t="str">
        <f>"00040845"</f>
        <v>00040845</v>
      </c>
      <c r="B1518" s="2" t="str">
        <f t="shared" si="70"/>
        <v>SG</v>
      </c>
      <c r="C1518" s="4" t="s">
        <v>973</v>
      </c>
      <c r="D1518" s="4" t="s">
        <v>0</v>
      </c>
      <c r="E1518" s="4" t="s">
        <v>12</v>
      </c>
      <c r="F1518" s="2" t="s">
        <v>0</v>
      </c>
      <c r="G1518" s="2" t="str">
        <f>"09"</f>
        <v>09</v>
      </c>
      <c r="H1518" s="3">
        <v>1662</v>
      </c>
    </row>
    <row r="1519" spans="1:8" ht="29.25" x14ac:dyDescent="0.25">
      <c r="A1519" s="2" t="str">
        <f>"00041005"</f>
        <v>00041005</v>
      </c>
      <c r="B1519" s="2" t="str">
        <f t="shared" si="70"/>
        <v>SG</v>
      </c>
      <c r="C1519" s="4" t="s">
        <v>967</v>
      </c>
      <c r="D1519" s="4" t="s">
        <v>0</v>
      </c>
      <c r="E1519" s="4" t="s">
        <v>12</v>
      </c>
      <c r="F1519" s="2" t="s">
        <v>0</v>
      </c>
      <c r="G1519" s="2" t="str">
        <f>"01"</f>
        <v>01</v>
      </c>
      <c r="H1519" s="3">
        <v>413</v>
      </c>
    </row>
    <row r="1520" spans="1:8" ht="29.25" x14ac:dyDescent="0.25">
      <c r="A1520" s="2" t="str">
        <f>"00041006"</f>
        <v>00041006</v>
      </c>
      <c r="B1520" s="2" t="str">
        <f t="shared" si="70"/>
        <v>SG</v>
      </c>
      <c r="C1520" s="4" t="s">
        <v>967</v>
      </c>
      <c r="D1520" s="4" t="s">
        <v>0</v>
      </c>
      <c r="E1520" s="4" t="s">
        <v>12</v>
      </c>
      <c r="F1520" s="2" t="s">
        <v>0</v>
      </c>
      <c r="G1520" s="2" t="str">
        <f>"02"</f>
        <v>02</v>
      </c>
      <c r="H1520" s="3">
        <v>552</v>
      </c>
    </row>
    <row r="1521" spans="1:8" ht="29.25" x14ac:dyDescent="0.25">
      <c r="A1521" s="2" t="str">
        <f>"00041007"</f>
        <v>00041007</v>
      </c>
      <c r="B1521" s="2" t="str">
        <f t="shared" si="70"/>
        <v>SG</v>
      </c>
      <c r="C1521" s="4" t="s">
        <v>967</v>
      </c>
      <c r="D1521" s="4" t="s">
        <v>0</v>
      </c>
      <c r="E1521" s="4" t="s">
        <v>12</v>
      </c>
      <c r="F1521" s="2" t="s">
        <v>0</v>
      </c>
      <c r="G1521" s="2" t="str">
        <f>"02"</f>
        <v>02</v>
      </c>
      <c r="H1521" s="3">
        <v>552</v>
      </c>
    </row>
    <row r="1522" spans="1:8" ht="29.25" x14ac:dyDescent="0.25">
      <c r="A1522" s="2" t="str">
        <f>"00041008"</f>
        <v>00041008</v>
      </c>
      <c r="B1522" s="2" t="str">
        <f t="shared" si="70"/>
        <v>SG</v>
      </c>
      <c r="C1522" s="4" t="s">
        <v>967</v>
      </c>
      <c r="D1522" s="4" t="s">
        <v>0</v>
      </c>
      <c r="E1522" s="4" t="s">
        <v>12</v>
      </c>
      <c r="F1522" s="2" t="s">
        <v>0</v>
      </c>
      <c r="G1522" s="2" t="str">
        <f>"01"</f>
        <v>01</v>
      </c>
      <c r="H1522" s="3">
        <v>413</v>
      </c>
    </row>
    <row r="1523" spans="1:8" ht="29.25" x14ac:dyDescent="0.25">
      <c r="A1523" s="2" t="str">
        <f>"00041009"</f>
        <v>00041009</v>
      </c>
      <c r="B1523" s="2" t="str">
        <f t="shared" si="70"/>
        <v>SG</v>
      </c>
      <c r="C1523" s="4" t="s">
        <v>967</v>
      </c>
      <c r="D1523" s="4" t="s">
        <v>0</v>
      </c>
      <c r="E1523" s="4" t="s">
        <v>12</v>
      </c>
      <c r="F1523" s="2" t="s">
        <v>0</v>
      </c>
      <c r="G1523" s="2" t="str">
        <f>"01"</f>
        <v>01</v>
      </c>
      <c r="H1523" s="3">
        <v>413</v>
      </c>
    </row>
    <row r="1524" spans="1:8" x14ac:dyDescent="0.25">
      <c r="A1524" s="2" t="str">
        <f>"00041010"</f>
        <v>00041010</v>
      </c>
      <c r="B1524" s="2" t="str">
        <f t="shared" si="70"/>
        <v>SG</v>
      </c>
      <c r="C1524" s="4" t="s">
        <v>974</v>
      </c>
      <c r="D1524" s="4" t="s">
        <v>0</v>
      </c>
      <c r="E1524" s="4" t="s">
        <v>12</v>
      </c>
      <c r="F1524" s="2" t="s">
        <v>0</v>
      </c>
      <c r="G1524" s="2" t="str">
        <f>"01"</f>
        <v>01</v>
      </c>
      <c r="H1524" s="3">
        <v>413</v>
      </c>
    </row>
    <row r="1525" spans="1:8" ht="29.25" x14ac:dyDescent="0.25">
      <c r="A1525" s="2" t="str">
        <f>"00041015"</f>
        <v>00041015</v>
      </c>
      <c r="B1525" s="2" t="str">
        <f t="shared" si="70"/>
        <v>SG</v>
      </c>
      <c r="C1525" s="4" t="s">
        <v>967</v>
      </c>
      <c r="D1525" s="4" t="s">
        <v>0</v>
      </c>
      <c r="E1525" s="4" t="s">
        <v>12</v>
      </c>
      <c r="F1525" s="2" t="s">
        <v>0</v>
      </c>
      <c r="G1525" s="2" t="str">
        <f>"01"</f>
        <v>01</v>
      </c>
      <c r="H1525" s="3">
        <v>413</v>
      </c>
    </row>
    <row r="1526" spans="1:8" ht="29.25" x14ac:dyDescent="0.25">
      <c r="A1526" s="2" t="str">
        <f>"00041016"</f>
        <v>00041016</v>
      </c>
      <c r="B1526" s="2" t="str">
        <f t="shared" si="70"/>
        <v>SG</v>
      </c>
      <c r="C1526" s="4" t="s">
        <v>967</v>
      </c>
      <c r="D1526" s="4" t="s">
        <v>0</v>
      </c>
      <c r="E1526" s="4" t="s">
        <v>12</v>
      </c>
      <c r="F1526" s="2" t="s">
        <v>0</v>
      </c>
      <c r="G1526" s="2" t="str">
        <f>"02"</f>
        <v>02</v>
      </c>
      <c r="H1526" s="3">
        <v>552</v>
      </c>
    </row>
    <row r="1527" spans="1:8" ht="29.25" x14ac:dyDescent="0.25">
      <c r="A1527" s="2" t="str">
        <f>"00041017"</f>
        <v>00041017</v>
      </c>
      <c r="B1527" s="2" t="str">
        <f t="shared" si="70"/>
        <v>SG</v>
      </c>
      <c r="C1527" s="4" t="s">
        <v>967</v>
      </c>
      <c r="D1527" s="4" t="s">
        <v>0</v>
      </c>
      <c r="E1527" s="4" t="s">
        <v>12</v>
      </c>
      <c r="F1527" s="2" t="s">
        <v>0</v>
      </c>
      <c r="G1527" s="2" t="str">
        <f>"01"</f>
        <v>01</v>
      </c>
      <c r="H1527" s="3">
        <v>413</v>
      </c>
    </row>
    <row r="1528" spans="1:8" ht="29.25" x14ac:dyDescent="0.25">
      <c r="A1528" s="2" t="str">
        <f>"00041018"</f>
        <v>00041018</v>
      </c>
      <c r="B1528" s="2" t="str">
        <f t="shared" si="70"/>
        <v>SG</v>
      </c>
      <c r="C1528" s="4" t="s">
        <v>967</v>
      </c>
      <c r="D1528" s="4" t="s">
        <v>0</v>
      </c>
      <c r="E1528" s="4" t="s">
        <v>12</v>
      </c>
      <c r="F1528" s="2" t="s">
        <v>0</v>
      </c>
      <c r="G1528" s="2" t="str">
        <f>"01"</f>
        <v>01</v>
      </c>
      <c r="H1528" s="3">
        <v>413</v>
      </c>
    </row>
    <row r="1529" spans="1:8" ht="29.25" x14ac:dyDescent="0.25">
      <c r="A1529" s="2" t="str">
        <f>"00041112"</f>
        <v>00041112</v>
      </c>
      <c r="B1529" s="2" t="str">
        <f t="shared" si="70"/>
        <v>SG</v>
      </c>
      <c r="C1529" s="4" t="s">
        <v>975</v>
      </c>
      <c r="D1529" s="4" t="s">
        <v>0</v>
      </c>
      <c r="E1529" s="4" t="s">
        <v>12</v>
      </c>
      <c r="F1529" s="2" t="s">
        <v>0</v>
      </c>
      <c r="G1529" s="2" t="str">
        <f>"01"</f>
        <v>01</v>
      </c>
      <c r="H1529" s="3">
        <v>413</v>
      </c>
    </row>
    <row r="1530" spans="1:8" ht="29.25" x14ac:dyDescent="0.25">
      <c r="A1530" s="2" t="str">
        <f>"00041113"</f>
        <v>00041113</v>
      </c>
      <c r="B1530" s="2" t="str">
        <f t="shared" si="70"/>
        <v>SG</v>
      </c>
      <c r="C1530" s="4" t="s">
        <v>975</v>
      </c>
      <c r="D1530" s="4" t="s">
        <v>0</v>
      </c>
      <c r="E1530" s="4" t="s">
        <v>12</v>
      </c>
      <c r="F1530" s="2" t="s">
        <v>0</v>
      </c>
      <c r="G1530" s="2" t="str">
        <f>"01"</f>
        <v>01</v>
      </c>
      <c r="H1530" s="3">
        <v>413</v>
      </c>
    </row>
    <row r="1531" spans="1:8" ht="29.25" x14ac:dyDescent="0.25">
      <c r="A1531" s="2" t="str">
        <f>"00041114"</f>
        <v>00041114</v>
      </c>
      <c r="B1531" s="2" t="str">
        <f t="shared" si="70"/>
        <v>SG</v>
      </c>
      <c r="C1531" s="4" t="s">
        <v>975</v>
      </c>
      <c r="D1531" s="4" t="s">
        <v>0</v>
      </c>
      <c r="E1531" s="4" t="s">
        <v>12</v>
      </c>
      <c r="F1531" s="2" t="s">
        <v>0</v>
      </c>
      <c r="G1531" s="2" t="str">
        <f>"02"</f>
        <v>02</v>
      </c>
      <c r="H1531" s="3">
        <v>552</v>
      </c>
    </row>
    <row r="1532" spans="1:8" ht="29.25" x14ac:dyDescent="0.25">
      <c r="A1532" s="2" t="str">
        <f>"00041116"</f>
        <v>00041116</v>
      </c>
      <c r="B1532" s="2" t="str">
        <f t="shared" si="70"/>
        <v>SG</v>
      </c>
      <c r="C1532" s="4" t="s">
        <v>969</v>
      </c>
      <c r="D1532" s="4" t="s">
        <v>0</v>
      </c>
      <c r="E1532" s="4" t="s">
        <v>12</v>
      </c>
      <c r="F1532" s="2" t="s">
        <v>0</v>
      </c>
      <c r="G1532" s="2" t="str">
        <f>"02"</f>
        <v>02</v>
      </c>
      <c r="H1532" s="3">
        <v>552</v>
      </c>
    </row>
    <row r="1533" spans="1:8" ht="29.25" x14ac:dyDescent="0.25">
      <c r="A1533" s="2" t="str">
        <f>"00041120"</f>
        <v>00041120</v>
      </c>
      <c r="B1533" s="2" t="str">
        <f t="shared" si="70"/>
        <v>SG</v>
      </c>
      <c r="C1533" s="4" t="s">
        <v>976</v>
      </c>
      <c r="D1533" s="4" t="s">
        <v>0</v>
      </c>
      <c r="E1533" s="4" t="s">
        <v>12</v>
      </c>
      <c r="F1533" s="2" t="s">
        <v>0</v>
      </c>
      <c r="G1533" s="2" t="str">
        <f>"05"</f>
        <v>05</v>
      </c>
      <c r="H1533" s="3">
        <v>891</v>
      </c>
    </row>
    <row r="1534" spans="1:8" ht="29.25" x14ac:dyDescent="0.25">
      <c r="A1534" s="2" t="str">
        <f>"00041250"</f>
        <v>00041250</v>
      </c>
      <c r="B1534" s="2" t="str">
        <f t="shared" si="70"/>
        <v>SG</v>
      </c>
      <c r="C1534" s="4" t="s">
        <v>977</v>
      </c>
      <c r="D1534" s="4" t="s">
        <v>0</v>
      </c>
      <c r="E1534" s="4" t="s">
        <v>12</v>
      </c>
      <c r="F1534" s="2" t="s">
        <v>0</v>
      </c>
      <c r="G1534" s="2" t="str">
        <f>"01"</f>
        <v>01</v>
      </c>
      <c r="H1534" s="3">
        <v>413</v>
      </c>
    </row>
    <row r="1535" spans="1:8" ht="29.25" x14ac:dyDescent="0.25">
      <c r="A1535" s="2" t="str">
        <f>"00041251"</f>
        <v>00041251</v>
      </c>
      <c r="B1535" s="2" t="str">
        <f t="shared" si="70"/>
        <v>SG</v>
      </c>
      <c r="C1535" s="4" t="s">
        <v>977</v>
      </c>
      <c r="D1535" s="4" t="s">
        <v>0</v>
      </c>
      <c r="E1535" s="4" t="s">
        <v>12</v>
      </c>
      <c r="F1535" s="2" t="s">
        <v>0</v>
      </c>
      <c r="G1535" s="2" t="str">
        <f>"01"</f>
        <v>01</v>
      </c>
      <c r="H1535" s="3">
        <v>413</v>
      </c>
    </row>
    <row r="1536" spans="1:8" ht="29.25" x14ac:dyDescent="0.25">
      <c r="A1536" s="2" t="str">
        <f>"00041252"</f>
        <v>00041252</v>
      </c>
      <c r="B1536" s="2" t="str">
        <f t="shared" si="70"/>
        <v>SG</v>
      </c>
      <c r="C1536" s="4" t="s">
        <v>977</v>
      </c>
      <c r="D1536" s="4" t="s">
        <v>0</v>
      </c>
      <c r="E1536" s="4" t="s">
        <v>12</v>
      </c>
      <c r="F1536" s="2" t="s">
        <v>0</v>
      </c>
      <c r="G1536" s="2" t="str">
        <f>"01"</f>
        <v>01</v>
      </c>
      <c r="H1536" s="3">
        <v>413</v>
      </c>
    </row>
    <row r="1537" spans="1:8" x14ac:dyDescent="0.25">
      <c r="A1537" s="2" t="str">
        <f>"00041510"</f>
        <v>00041510</v>
      </c>
      <c r="B1537" s="2" t="str">
        <f t="shared" si="70"/>
        <v>SG</v>
      </c>
      <c r="C1537" s="4" t="s">
        <v>978</v>
      </c>
      <c r="D1537" s="4" t="s">
        <v>0</v>
      </c>
      <c r="E1537" s="4" t="s">
        <v>12</v>
      </c>
      <c r="F1537" s="2" t="s">
        <v>0</v>
      </c>
      <c r="G1537" s="2" t="str">
        <f>"01"</f>
        <v>01</v>
      </c>
      <c r="H1537" s="3">
        <v>413</v>
      </c>
    </row>
    <row r="1538" spans="1:8" ht="29.25" x14ac:dyDescent="0.25">
      <c r="A1538" s="2" t="str">
        <f>"00041520"</f>
        <v>00041520</v>
      </c>
      <c r="B1538" s="2" t="str">
        <f t="shared" si="70"/>
        <v>SG</v>
      </c>
      <c r="C1538" s="4" t="s">
        <v>979</v>
      </c>
      <c r="D1538" s="4" t="s">
        <v>0</v>
      </c>
      <c r="E1538" s="4" t="s">
        <v>12</v>
      </c>
      <c r="F1538" s="2" t="s">
        <v>0</v>
      </c>
      <c r="G1538" s="2" t="str">
        <f>"09"</f>
        <v>09</v>
      </c>
      <c r="H1538" s="3">
        <v>1662</v>
      </c>
    </row>
    <row r="1539" spans="1:8" x14ac:dyDescent="0.25">
      <c r="A1539" s="2" t="str">
        <f>"00041800"</f>
        <v>00041800</v>
      </c>
      <c r="B1539" s="2" t="str">
        <f t="shared" si="70"/>
        <v>SG</v>
      </c>
      <c r="C1539" s="4" t="s">
        <v>980</v>
      </c>
      <c r="D1539" s="4" t="s">
        <v>0</v>
      </c>
      <c r="E1539" s="4" t="s">
        <v>12</v>
      </c>
      <c r="F1539" s="2" t="s">
        <v>0</v>
      </c>
      <c r="G1539" s="2" t="str">
        <f>"01"</f>
        <v>01</v>
      </c>
      <c r="H1539" s="3">
        <v>413</v>
      </c>
    </row>
    <row r="1540" spans="1:8" x14ac:dyDescent="0.25">
      <c r="A1540" s="2" t="str">
        <f>"00041827"</f>
        <v>00041827</v>
      </c>
      <c r="B1540" s="2" t="str">
        <f t="shared" si="70"/>
        <v>SG</v>
      </c>
      <c r="C1540" s="4" t="s">
        <v>981</v>
      </c>
      <c r="D1540" s="4" t="s">
        <v>0</v>
      </c>
      <c r="E1540" s="4" t="s">
        <v>12</v>
      </c>
      <c r="F1540" s="2" t="s">
        <v>0</v>
      </c>
      <c r="G1540" s="2" t="str">
        <f>"07"</f>
        <v>07</v>
      </c>
      <c r="H1540" s="3">
        <v>1233</v>
      </c>
    </row>
    <row r="1541" spans="1:8" ht="29.25" x14ac:dyDescent="0.25">
      <c r="A1541" s="2" t="str">
        <f>"00041899"</f>
        <v>00041899</v>
      </c>
      <c r="B1541" s="2" t="str">
        <f t="shared" si="70"/>
        <v>SG</v>
      </c>
      <c r="C1541" s="4" t="s">
        <v>982</v>
      </c>
      <c r="D1541" s="4" t="s">
        <v>0</v>
      </c>
      <c r="E1541" s="4" t="s">
        <v>983</v>
      </c>
      <c r="F1541" s="2" t="s">
        <v>0</v>
      </c>
      <c r="G1541" s="2" t="str">
        <f>"03"</f>
        <v>03</v>
      </c>
      <c r="H1541" s="3">
        <v>637</v>
      </c>
    </row>
    <row r="1542" spans="1:8" ht="29.25" x14ac:dyDescent="0.25">
      <c r="A1542" s="2" t="str">
        <f>"00042000"</f>
        <v>00042000</v>
      </c>
      <c r="B1542" s="2" t="str">
        <f t="shared" si="70"/>
        <v>SG</v>
      </c>
      <c r="C1542" s="4" t="s">
        <v>984</v>
      </c>
      <c r="D1542" s="4" t="s">
        <v>0</v>
      </c>
      <c r="E1542" s="4" t="s">
        <v>12</v>
      </c>
      <c r="F1542" s="2" t="s">
        <v>0</v>
      </c>
      <c r="G1542" s="2" t="str">
        <f>"01"</f>
        <v>01</v>
      </c>
      <c r="H1542" s="3">
        <v>413</v>
      </c>
    </row>
    <row r="1543" spans="1:8" ht="29.25" x14ac:dyDescent="0.25">
      <c r="A1543" s="2" t="str">
        <f>"00042107"</f>
        <v>00042107</v>
      </c>
      <c r="B1543" s="2" t="str">
        <f t="shared" si="70"/>
        <v>SG</v>
      </c>
      <c r="C1543" s="4" t="s">
        <v>985</v>
      </c>
      <c r="D1543" s="4" t="s">
        <v>0</v>
      </c>
      <c r="E1543" s="4" t="s">
        <v>12</v>
      </c>
      <c r="F1543" s="2" t="s">
        <v>0</v>
      </c>
      <c r="G1543" s="2" t="str">
        <f>"02"</f>
        <v>02</v>
      </c>
      <c r="H1543" s="3">
        <v>552</v>
      </c>
    </row>
    <row r="1544" spans="1:8" x14ac:dyDescent="0.25">
      <c r="A1544" s="2" t="str">
        <f>"00042120"</f>
        <v>00042120</v>
      </c>
      <c r="B1544" s="2" t="str">
        <f t="shared" si="70"/>
        <v>SG</v>
      </c>
      <c r="C1544" s="4" t="s">
        <v>986</v>
      </c>
      <c r="D1544" s="4" t="s">
        <v>0</v>
      </c>
      <c r="E1544" s="4" t="s">
        <v>12</v>
      </c>
      <c r="F1544" s="2" t="s">
        <v>0</v>
      </c>
      <c r="G1544" s="2" t="str">
        <f>"04"</f>
        <v>04</v>
      </c>
      <c r="H1544" s="3">
        <v>785</v>
      </c>
    </row>
    <row r="1545" spans="1:8" x14ac:dyDescent="0.25">
      <c r="A1545" s="2" t="str">
        <f>"00042140"</f>
        <v>00042140</v>
      </c>
      <c r="B1545" s="2" t="str">
        <f t="shared" si="70"/>
        <v>SG</v>
      </c>
      <c r="C1545" s="4" t="s">
        <v>987</v>
      </c>
      <c r="D1545" s="4" t="s">
        <v>0</v>
      </c>
      <c r="E1545" s="4" t="s">
        <v>12</v>
      </c>
      <c r="F1545" s="2" t="s">
        <v>0</v>
      </c>
      <c r="G1545" s="2" t="str">
        <f>"04"</f>
        <v>04</v>
      </c>
      <c r="H1545" s="3">
        <v>785</v>
      </c>
    </row>
    <row r="1546" spans="1:8" ht="29.25" x14ac:dyDescent="0.25">
      <c r="A1546" s="2" t="str">
        <f>"00042145"</f>
        <v>00042145</v>
      </c>
      <c r="B1546" s="2" t="str">
        <f t="shared" si="70"/>
        <v>SG</v>
      </c>
      <c r="C1546" s="4" t="s">
        <v>988</v>
      </c>
      <c r="D1546" s="4" t="s">
        <v>0</v>
      </c>
      <c r="E1546" s="4" t="s">
        <v>12</v>
      </c>
      <c r="F1546" s="2" t="s">
        <v>0</v>
      </c>
      <c r="G1546" s="2" t="str">
        <f>"07"</f>
        <v>07</v>
      </c>
      <c r="H1546" s="3">
        <v>1233</v>
      </c>
    </row>
    <row r="1547" spans="1:8" x14ac:dyDescent="0.25">
      <c r="A1547" s="2" t="str">
        <f>"00042180"</f>
        <v>00042180</v>
      </c>
      <c r="B1547" s="2" t="str">
        <f t="shared" si="70"/>
        <v>SG</v>
      </c>
      <c r="C1547" s="4" t="s">
        <v>989</v>
      </c>
      <c r="D1547" s="4" t="s">
        <v>0</v>
      </c>
      <c r="E1547" s="4" t="s">
        <v>12</v>
      </c>
      <c r="F1547" s="2" t="s">
        <v>0</v>
      </c>
      <c r="G1547" s="2" t="str">
        <f>"01"</f>
        <v>01</v>
      </c>
      <c r="H1547" s="3">
        <v>413</v>
      </c>
    </row>
    <row r="1548" spans="1:8" x14ac:dyDescent="0.25">
      <c r="A1548" s="2" t="str">
        <f>"00042182"</f>
        <v>00042182</v>
      </c>
      <c r="B1548" s="2" t="str">
        <f t="shared" si="70"/>
        <v>SG</v>
      </c>
      <c r="C1548" s="4" t="s">
        <v>989</v>
      </c>
      <c r="D1548" s="4" t="s">
        <v>0</v>
      </c>
      <c r="E1548" s="4" t="s">
        <v>12</v>
      </c>
      <c r="F1548" s="2" t="s">
        <v>0</v>
      </c>
      <c r="G1548" s="2" t="str">
        <f>"02"</f>
        <v>02</v>
      </c>
      <c r="H1548" s="3">
        <v>552</v>
      </c>
    </row>
    <row r="1549" spans="1:8" ht="29.25" x14ac:dyDescent="0.25">
      <c r="A1549" s="2" t="str">
        <f>"00042200"</f>
        <v>00042200</v>
      </c>
      <c r="B1549" s="2" t="str">
        <f t="shared" ref="B1549:B1612" si="71">"SG"</f>
        <v>SG</v>
      </c>
      <c r="C1549" s="4" t="s">
        <v>990</v>
      </c>
      <c r="D1549" s="4" t="s">
        <v>0</v>
      </c>
      <c r="E1549" s="4" t="s">
        <v>12</v>
      </c>
      <c r="F1549" s="2" t="s">
        <v>0</v>
      </c>
      <c r="G1549" s="2" t="str">
        <f t="shared" ref="G1549:G1555" si="72">"07"</f>
        <v>07</v>
      </c>
      <c r="H1549" s="3">
        <v>1233</v>
      </c>
    </row>
    <row r="1550" spans="1:8" ht="29.25" x14ac:dyDescent="0.25">
      <c r="A1550" s="2" t="str">
        <f>"00042205"</f>
        <v>00042205</v>
      </c>
      <c r="B1550" s="2" t="str">
        <f t="shared" si="71"/>
        <v>SG</v>
      </c>
      <c r="C1550" s="4" t="s">
        <v>990</v>
      </c>
      <c r="D1550" s="4" t="s">
        <v>0</v>
      </c>
      <c r="E1550" s="4" t="s">
        <v>12</v>
      </c>
      <c r="F1550" s="2" t="s">
        <v>0</v>
      </c>
      <c r="G1550" s="2" t="str">
        <f t="shared" si="72"/>
        <v>07</v>
      </c>
      <c r="H1550" s="3">
        <v>1233</v>
      </c>
    </row>
    <row r="1551" spans="1:8" ht="29.25" x14ac:dyDescent="0.25">
      <c r="A1551" s="2" t="str">
        <f>"00042210"</f>
        <v>00042210</v>
      </c>
      <c r="B1551" s="2" t="str">
        <f t="shared" si="71"/>
        <v>SG</v>
      </c>
      <c r="C1551" s="4" t="s">
        <v>990</v>
      </c>
      <c r="D1551" s="4" t="s">
        <v>0</v>
      </c>
      <c r="E1551" s="4" t="s">
        <v>12</v>
      </c>
      <c r="F1551" s="2" t="s">
        <v>0</v>
      </c>
      <c r="G1551" s="2" t="str">
        <f t="shared" si="72"/>
        <v>07</v>
      </c>
      <c r="H1551" s="3">
        <v>1233</v>
      </c>
    </row>
    <row r="1552" spans="1:8" ht="29.25" x14ac:dyDescent="0.25">
      <c r="A1552" s="2" t="str">
        <f>"00042215"</f>
        <v>00042215</v>
      </c>
      <c r="B1552" s="2" t="str">
        <f t="shared" si="71"/>
        <v>SG</v>
      </c>
      <c r="C1552" s="4" t="s">
        <v>990</v>
      </c>
      <c r="D1552" s="4" t="s">
        <v>0</v>
      </c>
      <c r="E1552" s="4" t="s">
        <v>12</v>
      </c>
      <c r="F1552" s="2" t="s">
        <v>0</v>
      </c>
      <c r="G1552" s="2" t="str">
        <f t="shared" si="72"/>
        <v>07</v>
      </c>
      <c r="H1552" s="3">
        <v>1233</v>
      </c>
    </row>
    <row r="1553" spans="1:8" ht="29.25" x14ac:dyDescent="0.25">
      <c r="A1553" s="2" t="str">
        <f>"00042220"</f>
        <v>00042220</v>
      </c>
      <c r="B1553" s="2" t="str">
        <f t="shared" si="71"/>
        <v>SG</v>
      </c>
      <c r="C1553" s="4" t="s">
        <v>990</v>
      </c>
      <c r="D1553" s="4" t="s">
        <v>0</v>
      </c>
      <c r="E1553" s="4" t="s">
        <v>12</v>
      </c>
      <c r="F1553" s="2" t="s">
        <v>0</v>
      </c>
      <c r="G1553" s="2" t="str">
        <f t="shared" si="72"/>
        <v>07</v>
      </c>
      <c r="H1553" s="3">
        <v>1233</v>
      </c>
    </row>
    <row r="1554" spans="1:8" x14ac:dyDescent="0.25">
      <c r="A1554" s="2" t="str">
        <f>"00042226"</f>
        <v>00042226</v>
      </c>
      <c r="B1554" s="2" t="str">
        <f t="shared" si="71"/>
        <v>SG</v>
      </c>
      <c r="C1554" s="4" t="s">
        <v>991</v>
      </c>
      <c r="D1554" s="4" t="s">
        <v>0</v>
      </c>
      <c r="E1554" s="4" t="s">
        <v>12</v>
      </c>
      <c r="F1554" s="2" t="s">
        <v>0</v>
      </c>
      <c r="G1554" s="2" t="str">
        <f t="shared" si="72"/>
        <v>07</v>
      </c>
      <c r="H1554" s="3">
        <v>1233</v>
      </c>
    </row>
    <row r="1555" spans="1:8" x14ac:dyDescent="0.25">
      <c r="A1555" s="2" t="str">
        <f>"00042235"</f>
        <v>00042235</v>
      </c>
      <c r="B1555" s="2" t="str">
        <f t="shared" si="71"/>
        <v>SG</v>
      </c>
      <c r="C1555" s="4" t="s">
        <v>989</v>
      </c>
      <c r="D1555" s="4" t="s">
        <v>0</v>
      </c>
      <c r="E1555" s="4" t="s">
        <v>12</v>
      </c>
      <c r="F1555" s="2" t="s">
        <v>0</v>
      </c>
      <c r="G1555" s="2" t="str">
        <f t="shared" si="72"/>
        <v>07</v>
      </c>
      <c r="H1555" s="3">
        <v>1233</v>
      </c>
    </row>
    <row r="1556" spans="1:8" ht="29.25" x14ac:dyDescent="0.25">
      <c r="A1556" s="2" t="str">
        <f>"00042260"</f>
        <v>00042260</v>
      </c>
      <c r="B1556" s="2" t="str">
        <f t="shared" si="71"/>
        <v>SG</v>
      </c>
      <c r="C1556" s="4" t="s">
        <v>992</v>
      </c>
      <c r="D1556" s="4" t="s">
        <v>0</v>
      </c>
      <c r="E1556" s="4" t="s">
        <v>12</v>
      </c>
      <c r="F1556" s="2" t="s">
        <v>0</v>
      </c>
      <c r="G1556" s="2" t="str">
        <f>"02"</f>
        <v>02</v>
      </c>
      <c r="H1556" s="3">
        <v>552</v>
      </c>
    </row>
    <row r="1557" spans="1:8" ht="29.25" x14ac:dyDescent="0.25">
      <c r="A1557" s="2" t="str">
        <f>"00042300"</f>
        <v>00042300</v>
      </c>
      <c r="B1557" s="2" t="str">
        <f t="shared" si="71"/>
        <v>SG</v>
      </c>
      <c r="C1557" s="4" t="s">
        <v>993</v>
      </c>
      <c r="D1557" s="4" t="s">
        <v>0</v>
      </c>
      <c r="E1557" s="4" t="s">
        <v>12</v>
      </c>
      <c r="F1557" s="2" t="s">
        <v>0</v>
      </c>
      <c r="G1557" s="2" t="str">
        <f>"01"</f>
        <v>01</v>
      </c>
      <c r="H1557" s="3">
        <v>413</v>
      </c>
    </row>
    <row r="1558" spans="1:8" ht="29.25" x14ac:dyDescent="0.25">
      <c r="A1558" s="2" t="str">
        <f>"00042305"</f>
        <v>00042305</v>
      </c>
      <c r="B1558" s="2" t="str">
        <f t="shared" si="71"/>
        <v>SG</v>
      </c>
      <c r="C1558" s="4" t="s">
        <v>993</v>
      </c>
      <c r="D1558" s="4" t="s">
        <v>0</v>
      </c>
      <c r="E1558" s="4" t="s">
        <v>12</v>
      </c>
      <c r="F1558" s="2" t="s">
        <v>0</v>
      </c>
      <c r="G1558" s="2" t="str">
        <f>"02"</f>
        <v>02</v>
      </c>
      <c r="H1558" s="3">
        <v>552</v>
      </c>
    </row>
    <row r="1559" spans="1:8" ht="29.25" x14ac:dyDescent="0.25">
      <c r="A1559" s="2" t="str">
        <f>"00042310"</f>
        <v>00042310</v>
      </c>
      <c r="B1559" s="2" t="str">
        <f t="shared" si="71"/>
        <v>SG</v>
      </c>
      <c r="C1559" s="4" t="s">
        <v>993</v>
      </c>
      <c r="D1559" s="4" t="s">
        <v>0</v>
      </c>
      <c r="E1559" s="4" t="s">
        <v>12</v>
      </c>
      <c r="F1559" s="2" t="s">
        <v>0</v>
      </c>
      <c r="G1559" s="2" t="str">
        <f>"01"</f>
        <v>01</v>
      </c>
      <c r="H1559" s="3">
        <v>413</v>
      </c>
    </row>
    <row r="1560" spans="1:8" ht="29.25" x14ac:dyDescent="0.25">
      <c r="A1560" s="2" t="str">
        <f>"00042320"</f>
        <v>00042320</v>
      </c>
      <c r="B1560" s="2" t="str">
        <f t="shared" si="71"/>
        <v>SG</v>
      </c>
      <c r="C1560" s="4" t="s">
        <v>993</v>
      </c>
      <c r="D1560" s="4" t="s">
        <v>0</v>
      </c>
      <c r="E1560" s="4" t="s">
        <v>12</v>
      </c>
      <c r="F1560" s="2" t="s">
        <v>0</v>
      </c>
      <c r="G1560" s="2" t="str">
        <f>"01"</f>
        <v>01</v>
      </c>
      <c r="H1560" s="3">
        <v>413</v>
      </c>
    </row>
    <row r="1561" spans="1:8" ht="29.25" x14ac:dyDescent="0.25">
      <c r="A1561" s="2" t="str">
        <f>"00042340"</f>
        <v>00042340</v>
      </c>
      <c r="B1561" s="2" t="str">
        <f t="shared" si="71"/>
        <v>SG</v>
      </c>
      <c r="C1561" s="4" t="s">
        <v>994</v>
      </c>
      <c r="D1561" s="4" t="s">
        <v>0</v>
      </c>
      <c r="E1561" s="4" t="s">
        <v>12</v>
      </c>
      <c r="F1561" s="2" t="s">
        <v>0</v>
      </c>
      <c r="G1561" s="2" t="str">
        <f>"07"</f>
        <v>07</v>
      </c>
      <c r="H1561" s="3">
        <v>1233</v>
      </c>
    </row>
    <row r="1562" spans="1:8" ht="29.25" x14ac:dyDescent="0.25">
      <c r="A1562" s="2" t="str">
        <f>"00042405"</f>
        <v>00042405</v>
      </c>
      <c r="B1562" s="2" t="str">
        <f t="shared" si="71"/>
        <v>SG</v>
      </c>
      <c r="C1562" s="4" t="s">
        <v>995</v>
      </c>
      <c r="D1562" s="4" t="s">
        <v>0</v>
      </c>
      <c r="E1562" s="4" t="s">
        <v>12</v>
      </c>
      <c r="F1562" s="2" t="s">
        <v>0</v>
      </c>
      <c r="G1562" s="2" t="str">
        <f>"02"</f>
        <v>02</v>
      </c>
      <c r="H1562" s="3">
        <v>552</v>
      </c>
    </row>
    <row r="1563" spans="1:8" ht="29.25" x14ac:dyDescent="0.25">
      <c r="A1563" s="2" t="str">
        <f>"00042408"</f>
        <v>00042408</v>
      </c>
      <c r="B1563" s="2" t="str">
        <f t="shared" si="71"/>
        <v>SG</v>
      </c>
      <c r="C1563" s="4" t="s">
        <v>996</v>
      </c>
      <c r="D1563" s="4" t="s">
        <v>0</v>
      </c>
      <c r="E1563" s="4" t="s">
        <v>12</v>
      </c>
      <c r="F1563" s="2" t="s">
        <v>0</v>
      </c>
      <c r="G1563" s="2" t="str">
        <f>"07"</f>
        <v>07</v>
      </c>
      <c r="H1563" s="3">
        <v>1233</v>
      </c>
    </row>
    <row r="1564" spans="1:8" ht="29.25" x14ac:dyDescent="0.25">
      <c r="A1564" s="2" t="str">
        <f>"00042409"</f>
        <v>00042409</v>
      </c>
      <c r="B1564" s="2" t="str">
        <f t="shared" si="71"/>
        <v>SG</v>
      </c>
      <c r="C1564" s="4" t="s">
        <v>997</v>
      </c>
      <c r="D1564" s="4" t="s">
        <v>0</v>
      </c>
      <c r="E1564" s="4" t="s">
        <v>12</v>
      </c>
      <c r="F1564" s="2" t="s">
        <v>0</v>
      </c>
      <c r="G1564" s="2" t="str">
        <f>"02"</f>
        <v>02</v>
      </c>
      <c r="H1564" s="3">
        <v>552</v>
      </c>
    </row>
    <row r="1565" spans="1:8" ht="29.25" x14ac:dyDescent="0.25">
      <c r="A1565" s="2" t="str">
        <f>"00042410"</f>
        <v>00042410</v>
      </c>
      <c r="B1565" s="2" t="str">
        <f t="shared" si="71"/>
        <v>SG</v>
      </c>
      <c r="C1565" s="4" t="s">
        <v>998</v>
      </c>
      <c r="D1565" s="4" t="s">
        <v>0</v>
      </c>
      <c r="E1565" s="4" t="s">
        <v>12</v>
      </c>
      <c r="F1565" s="2" t="s">
        <v>0</v>
      </c>
      <c r="G1565" s="2" t="str">
        <f>"09"</f>
        <v>09</v>
      </c>
      <c r="H1565" s="3">
        <v>1662</v>
      </c>
    </row>
    <row r="1566" spans="1:8" ht="29.25" x14ac:dyDescent="0.25">
      <c r="A1566" s="2" t="str">
        <f>"00042415"</f>
        <v>00042415</v>
      </c>
      <c r="B1566" s="2" t="str">
        <f t="shared" si="71"/>
        <v>SG</v>
      </c>
      <c r="C1566" s="4" t="s">
        <v>998</v>
      </c>
      <c r="D1566" s="4" t="s">
        <v>0</v>
      </c>
      <c r="E1566" s="4" t="s">
        <v>12</v>
      </c>
      <c r="F1566" s="2" t="s">
        <v>0</v>
      </c>
      <c r="G1566" s="2" t="str">
        <f>"09"</f>
        <v>09</v>
      </c>
      <c r="H1566" s="3">
        <v>1662</v>
      </c>
    </row>
    <row r="1567" spans="1:8" ht="29.25" x14ac:dyDescent="0.25">
      <c r="A1567" s="2" t="str">
        <f>"00042420"</f>
        <v>00042420</v>
      </c>
      <c r="B1567" s="2" t="str">
        <f t="shared" si="71"/>
        <v>SG</v>
      </c>
      <c r="C1567" s="4" t="s">
        <v>998</v>
      </c>
      <c r="D1567" s="4" t="s">
        <v>0</v>
      </c>
      <c r="E1567" s="4" t="s">
        <v>12</v>
      </c>
      <c r="F1567" s="2" t="s">
        <v>0</v>
      </c>
      <c r="G1567" s="2" t="str">
        <f>"09"</f>
        <v>09</v>
      </c>
      <c r="H1567" s="3">
        <v>1662</v>
      </c>
    </row>
    <row r="1568" spans="1:8" ht="29.25" x14ac:dyDescent="0.25">
      <c r="A1568" s="2" t="str">
        <f>"00042425"</f>
        <v>00042425</v>
      </c>
      <c r="B1568" s="2" t="str">
        <f t="shared" si="71"/>
        <v>SG</v>
      </c>
      <c r="C1568" s="4" t="s">
        <v>998</v>
      </c>
      <c r="D1568" s="4" t="s">
        <v>0</v>
      </c>
      <c r="E1568" s="4" t="s">
        <v>12</v>
      </c>
      <c r="F1568" s="2" t="s">
        <v>0</v>
      </c>
      <c r="G1568" s="2" t="str">
        <f>"07"</f>
        <v>07</v>
      </c>
      <c r="H1568" s="3">
        <v>1233</v>
      </c>
    </row>
    <row r="1569" spans="1:8" ht="29.25" x14ac:dyDescent="0.25">
      <c r="A1569" s="2" t="str">
        <f>"00042440"</f>
        <v>00042440</v>
      </c>
      <c r="B1569" s="2" t="str">
        <f t="shared" si="71"/>
        <v>SG</v>
      </c>
      <c r="C1569" s="4" t="s">
        <v>999</v>
      </c>
      <c r="D1569" s="4" t="s">
        <v>0</v>
      </c>
      <c r="E1569" s="4" t="s">
        <v>12</v>
      </c>
      <c r="F1569" s="2" t="s">
        <v>0</v>
      </c>
      <c r="G1569" s="2" t="str">
        <f>"09"</f>
        <v>09</v>
      </c>
      <c r="H1569" s="3">
        <v>1662</v>
      </c>
    </row>
    <row r="1570" spans="1:8" x14ac:dyDescent="0.25">
      <c r="A1570" s="2" t="str">
        <f>"00042450"</f>
        <v>00042450</v>
      </c>
      <c r="B1570" s="2" t="str">
        <f t="shared" si="71"/>
        <v>SG</v>
      </c>
      <c r="C1570" s="4" t="s">
        <v>1000</v>
      </c>
      <c r="D1570" s="4" t="s">
        <v>0</v>
      </c>
      <c r="E1570" s="4" t="s">
        <v>12</v>
      </c>
      <c r="F1570" s="2" t="s">
        <v>0</v>
      </c>
      <c r="G1570" s="2" t="str">
        <f>"09"</f>
        <v>09</v>
      </c>
      <c r="H1570" s="3">
        <v>1662</v>
      </c>
    </row>
    <row r="1571" spans="1:8" x14ac:dyDescent="0.25">
      <c r="A1571" s="2" t="str">
        <f>"00042500"</f>
        <v>00042500</v>
      </c>
      <c r="B1571" s="2" t="str">
        <f t="shared" si="71"/>
        <v>SG</v>
      </c>
      <c r="C1571" s="4" t="s">
        <v>1001</v>
      </c>
      <c r="D1571" s="4" t="s">
        <v>0</v>
      </c>
      <c r="E1571" s="4" t="s">
        <v>12</v>
      </c>
      <c r="F1571" s="2" t="s">
        <v>0</v>
      </c>
      <c r="G1571" s="2" t="str">
        <f>"02"</f>
        <v>02</v>
      </c>
      <c r="H1571" s="3">
        <v>552</v>
      </c>
    </row>
    <row r="1572" spans="1:8" x14ac:dyDescent="0.25">
      <c r="A1572" s="2" t="str">
        <f>"00042505"</f>
        <v>00042505</v>
      </c>
      <c r="B1572" s="2" t="str">
        <f t="shared" si="71"/>
        <v>SG</v>
      </c>
      <c r="C1572" s="4" t="s">
        <v>1001</v>
      </c>
      <c r="D1572" s="4" t="s">
        <v>0</v>
      </c>
      <c r="E1572" s="4" t="s">
        <v>12</v>
      </c>
      <c r="F1572" s="2" t="s">
        <v>0</v>
      </c>
      <c r="G1572" s="2" t="str">
        <f>"07"</f>
        <v>07</v>
      </c>
      <c r="H1572" s="3">
        <v>1233</v>
      </c>
    </row>
    <row r="1573" spans="1:8" x14ac:dyDescent="0.25">
      <c r="A1573" s="2" t="str">
        <f>"00042507"</f>
        <v>00042507</v>
      </c>
      <c r="B1573" s="2" t="str">
        <f t="shared" si="71"/>
        <v>SG</v>
      </c>
      <c r="C1573" s="4" t="s">
        <v>1002</v>
      </c>
      <c r="D1573" s="4" t="s">
        <v>0</v>
      </c>
      <c r="E1573" s="4" t="s">
        <v>12</v>
      </c>
      <c r="F1573" s="2" t="s">
        <v>0</v>
      </c>
      <c r="G1573" s="2" t="str">
        <f>"07"</f>
        <v>07</v>
      </c>
      <c r="H1573" s="3">
        <v>1233</v>
      </c>
    </row>
    <row r="1574" spans="1:8" x14ac:dyDescent="0.25">
      <c r="A1574" s="2" t="str">
        <f>"00042509"</f>
        <v>00042509</v>
      </c>
      <c r="B1574" s="2" t="str">
        <f t="shared" si="71"/>
        <v>SG</v>
      </c>
      <c r="C1574" s="4" t="s">
        <v>1002</v>
      </c>
      <c r="D1574" s="4" t="s">
        <v>0</v>
      </c>
      <c r="E1574" s="4" t="s">
        <v>12</v>
      </c>
      <c r="F1574" s="2" t="s">
        <v>0</v>
      </c>
      <c r="G1574" s="2" t="str">
        <f>"07"</f>
        <v>07</v>
      </c>
      <c r="H1574" s="3">
        <v>1233</v>
      </c>
    </row>
    <row r="1575" spans="1:8" x14ac:dyDescent="0.25">
      <c r="A1575" s="2" t="str">
        <f>"00042510"</f>
        <v>00042510</v>
      </c>
      <c r="B1575" s="2" t="str">
        <f t="shared" si="71"/>
        <v>SG</v>
      </c>
      <c r="C1575" s="4" t="s">
        <v>1002</v>
      </c>
      <c r="D1575" s="4" t="s">
        <v>0</v>
      </c>
      <c r="E1575" s="4" t="s">
        <v>12</v>
      </c>
      <c r="F1575" s="2" t="s">
        <v>0</v>
      </c>
      <c r="G1575" s="2" t="str">
        <f>"07"</f>
        <v>07</v>
      </c>
      <c r="H1575" s="3">
        <v>1233</v>
      </c>
    </row>
    <row r="1576" spans="1:8" ht="29.25" x14ac:dyDescent="0.25">
      <c r="A1576" s="2" t="str">
        <f>"00042600"</f>
        <v>00042600</v>
      </c>
      <c r="B1576" s="2" t="str">
        <f t="shared" si="71"/>
        <v>SG</v>
      </c>
      <c r="C1576" s="4" t="s">
        <v>1003</v>
      </c>
      <c r="D1576" s="4" t="s">
        <v>0</v>
      </c>
      <c r="E1576" s="4" t="s">
        <v>12</v>
      </c>
      <c r="F1576" s="2" t="s">
        <v>0</v>
      </c>
      <c r="G1576" s="2" t="str">
        <f>"01"</f>
        <v>01</v>
      </c>
      <c r="H1576" s="3">
        <v>413</v>
      </c>
    </row>
    <row r="1577" spans="1:8" ht="29.25" x14ac:dyDescent="0.25">
      <c r="A1577" s="2" t="str">
        <f>"00042665"</f>
        <v>00042665</v>
      </c>
      <c r="B1577" s="2" t="str">
        <f t="shared" si="71"/>
        <v>SG</v>
      </c>
      <c r="C1577" s="4" t="s">
        <v>1004</v>
      </c>
      <c r="D1577" s="4" t="s">
        <v>0</v>
      </c>
      <c r="E1577" s="4" t="s">
        <v>12</v>
      </c>
      <c r="F1577" s="2" t="s">
        <v>0</v>
      </c>
      <c r="G1577" s="2" t="str">
        <f>"09"</f>
        <v>09</v>
      </c>
      <c r="H1577" s="3">
        <v>1662</v>
      </c>
    </row>
    <row r="1578" spans="1:8" ht="29.25" x14ac:dyDescent="0.25">
      <c r="A1578" s="2" t="str">
        <f>"00042700"</f>
        <v>00042700</v>
      </c>
      <c r="B1578" s="2" t="str">
        <f t="shared" si="71"/>
        <v>SG</v>
      </c>
      <c r="C1578" s="4" t="s">
        <v>1005</v>
      </c>
      <c r="D1578" s="4" t="s">
        <v>0</v>
      </c>
      <c r="E1578" s="4" t="s">
        <v>12</v>
      </c>
      <c r="F1578" s="2" t="s">
        <v>0</v>
      </c>
      <c r="G1578" s="2" t="str">
        <f>"01"</f>
        <v>01</v>
      </c>
      <c r="H1578" s="3">
        <v>413</v>
      </c>
    </row>
    <row r="1579" spans="1:8" ht="29.25" x14ac:dyDescent="0.25">
      <c r="A1579" s="2" t="str">
        <f>"00042720"</f>
        <v>00042720</v>
      </c>
      <c r="B1579" s="2" t="str">
        <f t="shared" si="71"/>
        <v>SG</v>
      </c>
      <c r="C1579" s="4" t="s">
        <v>1006</v>
      </c>
      <c r="D1579" s="4" t="s">
        <v>0</v>
      </c>
      <c r="E1579" s="4" t="s">
        <v>12</v>
      </c>
      <c r="F1579" s="2" t="s">
        <v>0</v>
      </c>
      <c r="G1579" s="2" t="str">
        <f>"01"</f>
        <v>01</v>
      </c>
      <c r="H1579" s="3">
        <v>413</v>
      </c>
    </row>
    <row r="1580" spans="1:8" ht="29.25" x14ac:dyDescent="0.25">
      <c r="A1580" s="2" t="str">
        <f>"00042725"</f>
        <v>00042725</v>
      </c>
      <c r="B1580" s="2" t="str">
        <f t="shared" si="71"/>
        <v>SG</v>
      </c>
      <c r="C1580" s="4" t="s">
        <v>1006</v>
      </c>
      <c r="D1580" s="4" t="s">
        <v>0</v>
      </c>
      <c r="E1580" s="4" t="s">
        <v>12</v>
      </c>
      <c r="F1580" s="2" t="s">
        <v>0</v>
      </c>
      <c r="G1580" s="2" t="str">
        <f>"09"</f>
        <v>09</v>
      </c>
      <c r="H1580" s="3">
        <v>1662</v>
      </c>
    </row>
    <row r="1581" spans="1:8" ht="29.25" x14ac:dyDescent="0.25">
      <c r="A1581" s="2" t="str">
        <f>"00042804"</f>
        <v>00042804</v>
      </c>
      <c r="B1581" s="2" t="str">
        <f t="shared" si="71"/>
        <v>SG</v>
      </c>
      <c r="C1581" s="4" t="s">
        <v>1007</v>
      </c>
      <c r="D1581" s="4" t="s">
        <v>0</v>
      </c>
      <c r="E1581" s="4" t="s">
        <v>12</v>
      </c>
      <c r="F1581" s="2" t="s">
        <v>0</v>
      </c>
      <c r="G1581" s="2" t="str">
        <f>"01"</f>
        <v>01</v>
      </c>
      <c r="H1581" s="3">
        <v>413</v>
      </c>
    </row>
    <row r="1582" spans="1:8" ht="29.25" x14ac:dyDescent="0.25">
      <c r="A1582" s="2" t="str">
        <f>"00042806"</f>
        <v>00042806</v>
      </c>
      <c r="B1582" s="2" t="str">
        <f t="shared" si="71"/>
        <v>SG</v>
      </c>
      <c r="C1582" s="4" t="s">
        <v>1007</v>
      </c>
      <c r="D1582" s="4" t="s">
        <v>0</v>
      </c>
      <c r="E1582" s="4" t="s">
        <v>12</v>
      </c>
      <c r="F1582" s="2" t="s">
        <v>0</v>
      </c>
      <c r="G1582" s="2" t="str">
        <f>"02"</f>
        <v>02</v>
      </c>
      <c r="H1582" s="3">
        <v>552</v>
      </c>
    </row>
    <row r="1583" spans="1:8" x14ac:dyDescent="0.25">
      <c r="A1583" s="2" t="str">
        <f>"00042808"</f>
        <v>00042808</v>
      </c>
      <c r="B1583" s="2" t="str">
        <f t="shared" si="71"/>
        <v>SG</v>
      </c>
      <c r="C1583" s="4" t="s">
        <v>1008</v>
      </c>
      <c r="D1583" s="4" t="s">
        <v>0</v>
      </c>
      <c r="E1583" s="4" t="s">
        <v>12</v>
      </c>
      <c r="F1583" s="2" t="s">
        <v>0</v>
      </c>
      <c r="G1583" s="2" t="str">
        <f>"02"</f>
        <v>02</v>
      </c>
      <c r="H1583" s="3">
        <v>552</v>
      </c>
    </row>
    <row r="1584" spans="1:8" x14ac:dyDescent="0.25">
      <c r="A1584" s="2" t="str">
        <f>"00042810"</f>
        <v>00042810</v>
      </c>
      <c r="B1584" s="2" t="str">
        <f t="shared" si="71"/>
        <v>SG</v>
      </c>
      <c r="C1584" s="4" t="s">
        <v>1009</v>
      </c>
      <c r="D1584" s="4" t="s">
        <v>0</v>
      </c>
      <c r="E1584" s="4" t="s">
        <v>12</v>
      </c>
      <c r="F1584" s="2" t="s">
        <v>0</v>
      </c>
      <c r="G1584" s="2" t="str">
        <f>"03"</f>
        <v>03</v>
      </c>
      <c r="H1584" s="3">
        <v>637</v>
      </c>
    </row>
    <row r="1585" spans="1:8" x14ac:dyDescent="0.25">
      <c r="A1585" s="2" t="str">
        <f>"00042815"</f>
        <v>00042815</v>
      </c>
      <c r="B1585" s="2" t="str">
        <f t="shared" si="71"/>
        <v>SG</v>
      </c>
      <c r="C1585" s="4" t="s">
        <v>1009</v>
      </c>
      <c r="D1585" s="4" t="s">
        <v>0</v>
      </c>
      <c r="E1585" s="4" t="s">
        <v>12</v>
      </c>
      <c r="F1585" s="2" t="s">
        <v>0</v>
      </c>
      <c r="G1585" s="2" t="str">
        <f>"09"</f>
        <v>09</v>
      </c>
      <c r="H1585" s="3">
        <v>1662</v>
      </c>
    </row>
    <row r="1586" spans="1:8" ht="29.25" x14ac:dyDescent="0.25">
      <c r="A1586" s="2" t="str">
        <f>"00042820"</f>
        <v>00042820</v>
      </c>
      <c r="B1586" s="2" t="str">
        <f t="shared" si="71"/>
        <v>SG</v>
      </c>
      <c r="C1586" s="4" t="s">
        <v>1010</v>
      </c>
      <c r="D1586" s="4" t="s">
        <v>0</v>
      </c>
      <c r="E1586" s="4" t="s">
        <v>12</v>
      </c>
      <c r="F1586" s="2" t="s">
        <v>0</v>
      </c>
      <c r="G1586" s="2" t="str">
        <f>"03"</f>
        <v>03</v>
      </c>
      <c r="H1586" s="3">
        <v>637</v>
      </c>
    </row>
    <row r="1587" spans="1:8" ht="29.25" x14ac:dyDescent="0.25">
      <c r="A1587" s="2" t="str">
        <f>"00042821"</f>
        <v>00042821</v>
      </c>
      <c r="B1587" s="2" t="str">
        <f t="shared" si="71"/>
        <v>SG</v>
      </c>
      <c r="C1587" s="4" t="s">
        <v>1010</v>
      </c>
      <c r="D1587" s="4" t="s">
        <v>0</v>
      </c>
      <c r="E1587" s="4" t="s">
        <v>12</v>
      </c>
      <c r="F1587" s="2" t="s">
        <v>0</v>
      </c>
      <c r="G1587" s="2" t="str">
        <f>"03"</f>
        <v>03</v>
      </c>
      <c r="H1587" s="3">
        <v>637</v>
      </c>
    </row>
    <row r="1588" spans="1:8" x14ac:dyDescent="0.25">
      <c r="A1588" s="2" t="str">
        <f>"00042825"</f>
        <v>00042825</v>
      </c>
      <c r="B1588" s="2" t="str">
        <f t="shared" si="71"/>
        <v>SG</v>
      </c>
      <c r="C1588" s="4" t="s">
        <v>1011</v>
      </c>
      <c r="D1588" s="4" t="s">
        <v>0</v>
      </c>
      <c r="E1588" s="4" t="s">
        <v>12</v>
      </c>
      <c r="F1588" s="2" t="s">
        <v>0</v>
      </c>
      <c r="G1588" s="2" t="str">
        <f>"09"</f>
        <v>09</v>
      </c>
      <c r="H1588" s="3">
        <v>1662</v>
      </c>
    </row>
    <row r="1589" spans="1:8" x14ac:dyDescent="0.25">
      <c r="A1589" s="2" t="str">
        <f>"00042826"</f>
        <v>00042826</v>
      </c>
      <c r="B1589" s="2" t="str">
        <f t="shared" si="71"/>
        <v>SG</v>
      </c>
      <c r="C1589" s="4" t="s">
        <v>1011</v>
      </c>
      <c r="D1589" s="4" t="s">
        <v>0</v>
      </c>
      <c r="E1589" s="4" t="s">
        <v>12</v>
      </c>
      <c r="F1589" s="2" t="s">
        <v>0</v>
      </c>
      <c r="G1589" s="2" t="str">
        <f>"03"</f>
        <v>03</v>
      </c>
      <c r="H1589" s="3">
        <v>637</v>
      </c>
    </row>
    <row r="1590" spans="1:8" x14ac:dyDescent="0.25">
      <c r="A1590" s="2" t="str">
        <f>"00042830"</f>
        <v>00042830</v>
      </c>
      <c r="B1590" s="2" t="str">
        <f t="shared" si="71"/>
        <v>SG</v>
      </c>
      <c r="C1590" s="4" t="s">
        <v>1012</v>
      </c>
      <c r="D1590" s="4" t="s">
        <v>0</v>
      </c>
      <c r="E1590" s="4" t="s">
        <v>12</v>
      </c>
      <c r="F1590" s="2" t="s">
        <v>0</v>
      </c>
      <c r="G1590" s="2" t="str">
        <f>"09"</f>
        <v>09</v>
      </c>
      <c r="H1590" s="3">
        <v>1662</v>
      </c>
    </row>
    <row r="1591" spans="1:8" x14ac:dyDescent="0.25">
      <c r="A1591" s="2" t="str">
        <f>"00042831"</f>
        <v>00042831</v>
      </c>
      <c r="B1591" s="2" t="str">
        <f t="shared" si="71"/>
        <v>SG</v>
      </c>
      <c r="C1591" s="4" t="s">
        <v>1012</v>
      </c>
      <c r="D1591" s="4" t="s">
        <v>0</v>
      </c>
      <c r="E1591" s="4" t="s">
        <v>12</v>
      </c>
      <c r="F1591" s="2" t="s">
        <v>0</v>
      </c>
      <c r="G1591" s="2" t="str">
        <f>"02"</f>
        <v>02</v>
      </c>
      <c r="H1591" s="3">
        <v>552</v>
      </c>
    </row>
    <row r="1592" spans="1:8" x14ac:dyDescent="0.25">
      <c r="A1592" s="2" t="str">
        <f>"00042835"</f>
        <v>00042835</v>
      </c>
      <c r="B1592" s="2" t="str">
        <f t="shared" si="71"/>
        <v>SG</v>
      </c>
      <c r="C1592" s="4" t="s">
        <v>1012</v>
      </c>
      <c r="D1592" s="4" t="s">
        <v>0</v>
      </c>
      <c r="E1592" s="4" t="s">
        <v>12</v>
      </c>
      <c r="F1592" s="2" t="s">
        <v>0</v>
      </c>
      <c r="G1592" s="2" t="str">
        <f>"02"</f>
        <v>02</v>
      </c>
      <c r="H1592" s="3">
        <v>552</v>
      </c>
    </row>
    <row r="1593" spans="1:8" x14ac:dyDescent="0.25">
      <c r="A1593" s="2" t="str">
        <f>"00042836"</f>
        <v>00042836</v>
      </c>
      <c r="B1593" s="2" t="str">
        <f t="shared" si="71"/>
        <v>SG</v>
      </c>
      <c r="C1593" s="4" t="s">
        <v>1012</v>
      </c>
      <c r="D1593" s="4" t="s">
        <v>0</v>
      </c>
      <c r="E1593" s="4" t="s">
        <v>12</v>
      </c>
      <c r="F1593" s="2" t="s">
        <v>0</v>
      </c>
      <c r="G1593" s="2" t="str">
        <f>"02"</f>
        <v>02</v>
      </c>
      <c r="H1593" s="3">
        <v>552</v>
      </c>
    </row>
    <row r="1594" spans="1:8" x14ac:dyDescent="0.25">
      <c r="A1594" s="2" t="str">
        <f>"00042860"</f>
        <v>00042860</v>
      </c>
      <c r="B1594" s="2" t="str">
        <f t="shared" si="71"/>
        <v>SG</v>
      </c>
      <c r="C1594" s="4" t="s">
        <v>1013</v>
      </c>
      <c r="D1594" s="4" t="s">
        <v>0</v>
      </c>
      <c r="E1594" s="4" t="s">
        <v>12</v>
      </c>
      <c r="F1594" s="2" t="s">
        <v>0</v>
      </c>
      <c r="G1594" s="2" t="str">
        <f>"09"</f>
        <v>09</v>
      </c>
      <c r="H1594" s="3">
        <v>1662</v>
      </c>
    </row>
    <row r="1595" spans="1:8" ht="29.25" x14ac:dyDescent="0.25">
      <c r="A1595" s="2" t="str">
        <f>"00042870"</f>
        <v>00042870</v>
      </c>
      <c r="B1595" s="2" t="str">
        <f t="shared" si="71"/>
        <v>SG</v>
      </c>
      <c r="C1595" s="4" t="s">
        <v>1014</v>
      </c>
      <c r="D1595" s="4" t="s">
        <v>0</v>
      </c>
      <c r="E1595" s="4" t="s">
        <v>12</v>
      </c>
      <c r="F1595" s="2" t="s">
        <v>0</v>
      </c>
      <c r="G1595" s="2" t="str">
        <f>"03"</f>
        <v>03</v>
      </c>
      <c r="H1595" s="3">
        <v>637</v>
      </c>
    </row>
    <row r="1596" spans="1:8" ht="29.25" x14ac:dyDescent="0.25">
      <c r="A1596" s="2" t="str">
        <f>"00042890"</f>
        <v>00042890</v>
      </c>
      <c r="B1596" s="2" t="str">
        <f t="shared" si="71"/>
        <v>SG</v>
      </c>
      <c r="C1596" s="4" t="s">
        <v>1015</v>
      </c>
      <c r="D1596" s="4" t="s">
        <v>0</v>
      </c>
      <c r="E1596" s="4" t="s">
        <v>12</v>
      </c>
      <c r="F1596" s="2" t="s">
        <v>0</v>
      </c>
      <c r="G1596" s="2" t="str">
        <f>"09"</f>
        <v>09</v>
      </c>
      <c r="H1596" s="3">
        <v>1662</v>
      </c>
    </row>
    <row r="1597" spans="1:8" ht="29.25" x14ac:dyDescent="0.25">
      <c r="A1597" s="2" t="str">
        <f>"00042892"</f>
        <v>00042892</v>
      </c>
      <c r="B1597" s="2" t="str">
        <f t="shared" si="71"/>
        <v>SG</v>
      </c>
      <c r="C1597" s="4" t="s">
        <v>1016</v>
      </c>
      <c r="D1597" s="4" t="s">
        <v>0</v>
      </c>
      <c r="E1597" s="4" t="s">
        <v>12</v>
      </c>
      <c r="F1597" s="2" t="s">
        <v>0</v>
      </c>
      <c r="G1597" s="2" t="str">
        <f>"09"</f>
        <v>09</v>
      </c>
      <c r="H1597" s="3">
        <v>1662</v>
      </c>
    </row>
    <row r="1598" spans="1:8" x14ac:dyDescent="0.25">
      <c r="A1598" s="2" t="str">
        <f>"00042900"</f>
        <v>00042900</v>
      </c>
      <c r="B1598" s="2" t="str">
        <f t="shared" si="71"/>
        <v>SG</v>
      </c>
      <c r="C1598" s="4" t="s">
        <v>1017</v>
      </c>
      <c r="D1598" s="4" t="s">
        <v>0</v>
      </c>
      <c r="E1598" s="4" t="s">
        <v>12</v>
      </c>
      <c r="F1598" s="2" t="s">
        <v>0</v>
      </c>
      <c r="G1598" s="2" t="str">
        <f>"03"</f>
        <v>03</v>
      </c>
      <c r="H1598" s="3">
        <v>637</v>
      </c>
    </row>
    <row r="1599" spans="1:8" ht="29.25" x14ac:dyDescent="0.25">
      <c r="A1599" s="2" t="str">
        <f>"00042950"</f>
        <v>00042950</v>
      </c>
      <c r="B1599" s="2" t="str">
        <f t="shared" si="71"/>
        <v>SG</v>
      </c>
      <c r="C1599" s="4" t="s">
        <v>1018</v>
      </c>
      <c r="D1599" s="4" t="s">
        <v>0</v>
      </c>
      <c r="E1599" s="4" t="s">
        <v>12</v>
      </c>
      <c r="F1599" s="2" t="s">
        <v>0</v>
      </c>
      <c r="G1599" s="2" t="str">
        <f>"09"</f>
        <v>09</v>
      </c>
      <c r="H1599" s="3">
        <v>1662</v>
      </c>
    </row>
    <row r="1600" spans="1:8" ht="29.25" x14ac:dyDescent="0.25">
      <c r="A1600" s="2" t="str">
        <f>"00042955"</f>
        <v>00042955</v>
      </c>
      <c r="B1600" s="2" t="str">
        <f t="shared" si="71"/>
        <v>SG</v>
      </c>
      <c r="C1600" s="4" t="s">
        <v>1019</v>
      </c>
      <c r="D1600" s="4" t="s">
        <v>0</v>
      </c>
      <c r="E1600" s="4" t="s">
        <v>12</v>
      </c>
      <c r="F1600" s="2" t="s">
        <v>0</v>
      </c>
      <c r="G1600" s="2" t="str">
        <f>"03"</f>
        <v>03</v>
      </c>
      <c r="H1600" s="3">
        <v>637</v>
      </c>
    </row>
    <row r="1601" spans="1:8" ht="29.25" x14ac:dyDescent="0.25">
      <c r="A1601" s="2" t="str">
        <f>"00042960"</f>
        <v>00042960</v>
      </c>
      <c r="B1601" s="2" t="str">
        <f t="shared" si="71"/>
        <v>SG</v>
      </c>
      <c r="C1601" s="4" t="s">
        <v>1020</v>
      </c>
      <c r="D1601" s="4" t="s">
        <v>0</v>
      </c>
      <c r="E1601" s="4" t="s">
        <v>12</v>
      </c>
      <c r="F1601" s="2" t="s">
        <v>0</v>
      </c>
      <c r="G1601" s="2" t="str">
        <f>"01"</f>
        <v>01</v>
      </c>
      <c r="H1601" s="3">
        <v>413</v>
      </c>
    </row>
    <row r="1602" spans="1:8" ht="29.25" x14ac:dyDescent="0.25">
      <c r="A1602" s="2" t="str">
        <f>"00042962"</f>
        <v>00042962</v>
      </c>
      <c r="B1602" s="2" t="str">
        <f t="shared" si="71"/>
        <v>SG</v>
      </c>
      <c r="C1602" s="4" t="s">
        <v>1020</v>
      </c>
      <c r="D1602" s="4" t="s">
        <v>0</v>
      </c>
      <c r="E1602" s="4" t="s">
        <v>12</v>
      </c>
      <c r="F1602" s="2" t="s">
        <v>0</v>
      </c>
      <c r="G1602" s="2" t="str">
        <f>"02"</f>
        <v>02</v>
      </c>
      <c r="H1602" s="3">
        <v>552</v>
      </c>
    </row>
    <row r="1603" spans="1:8" ht="29.25" x14ac:dyDescent="0.25">
      <c r="A1603" s="2" t="str">
        <f>"00042972"</f>
        <v>00042972</v>
      </c>
      <c r="B1603" s="2" t="str">
        <f t="shared" si="71"/>
        <v>SG</v>
      </c>
      <c r="C1603" s="4" t="s">
        <v>1021</v>
      </c>
      <c r="D1603" s="4" t="s">
        <v>0</v>
      </c>
      <c r="E1603" s="4" t="s">
        <v>12</v>
      </c>
      <c r="F1603" s="2" t="s">
        <v>0</v>
      </c>
      <c r="G1603" s="2" t="str">
        <f t="shared" ref="G1603:G1615" si="73">"01"</f>
        <v>01</v>
      </c>
      <c r="H1603" s="3">
        <v>413</v>
      </c>
    </row>
    <row r="1604" spans="1:8" ht="43.5" x14ac:dyDescent="0.25">
      <c r="A1604" s="2" t="str">
        <f>"00043197"</f>
        <v>00043197</v>
      </c>
      <c r="B1604" s="2" t="str">
        <f t="shared" si="71"/>
        <v>SG</v>
      </c>
      <c r="C1604" s="4" t="s">
        <v>1022</v>
      </c>
      <c r="D1604" s="4" t="s">
        <v>0</v>
      </c>
      <c r="E1604" s="4" t="s">
        <v>12</v>
      </c>
      <c r="F1604" s="2" t="s">
        <v>0</v>
      </c>
      <c r="G1604" s="2" t="str">
        <f t="shared" si="73"/>
        <v>01</v>
      </c>
      <c r="H1604" s="3">
        <v>413</v>
      </c>
    </row>
    <row r="1605" spans="1:8" ht="29.25" x14ac:dyDescent="0.25">
      <c r="A1605" s="2" t="str">
        <f>"00043198"</f>
        <v>00043198</v>
      </c>
      <c r="B1605" s="2" t="str">
        <f t="shared" si="71"/>
        <v>SG</v>
      </c>
      <c r="C1605" s="4" t="s">
        <v>1023</v>
      </c>
      <c r="D1605" s="4" t="s">
        <v>0</v>
      </c>
      <c r="E1605" s="4" t="s">
        <v>12</v>
      </c>
      <c r="F1605" s="2" t="s">
        <v>0</v>
      </c>
      <c r="G1605" s="2" t="str">
        <f t="shared" si="73"/>
        <v>01</v>
      </c>
      <c r="H1605" s="3">
        <v>413</v>
      </c>
    </row>
    <row r="1606" spans="1:8" x14ac:dyDescent="0.25">
      <c r="A1606" s="2" t="str">
        <f>"00043200"</f>
        <v>00043200</v>
      </c>
      <c r="B1606" s="2" t="str">
        <f t="shared" si="71"/>
        <v>SG</v>
      </c>
      <c r="C1606" s="4" t="s">
        <v>1024</v>
      </c>
      <c r="D1606" s="4" t="s">
        <v>0</v>
      </c>
      <c r="E1606" s="4" t="s">
        <v>12</v>
      </c>
      <c r="F1606" s="2" t="s">
        <v>0</v>
      </c>
      <c r="G1606" s="2" t="str">
        <f t="shared" si="73"/>
        <v>01</v>
      </c>
      <c r="H1606" s="3">
        <v>413</v>
      </c>
    </row>
    <row r="1607" spans="1:8" ht="29.25" x14ac:dyDescent="0.25">
      <c r="A1607" s="2" t="str">
        <f>"00043201"</f>
        <v>00043201</v>
      </c>
      <c r="B1607" s="2" t="str">
        <f t="shared" si="71"/>
        <v>SG</v>
      </c>
      <c r="C1607" s="4" t="s">
        <v>1025</v>
      </c>
      <c r="D1607" s="4" t="s">
        <v>0</v>
      </c>
      <c r="E1607" s="4" t="s">
        <v>12</v>
      </c>
      <c r="F1607" s="2" t="s">
        <v>0</v>
      </c>
      <c r="G1607" s="2" t="str">
        <f t="shared" si="73"/>
        <v>01</v>
      </c>
      <c r="H1607" s="3">
        <v>413</v>
      </c>
    </row>
    <row r="1608" spans="1:8" ht="29.25" x14ac:dyDescent="0.25">
      <c r="A1608" s="2" t="str">
        <f>"00043202"</f>
        <v>00043202</v>
      </c>
      <c r="B1608" s="2" t="str">
        <f t="shared" si="71"/>
        <v>SG</v>
      </c>
      <c r="C1608" s="4" t="s">
        <v>1026</v>
      </c>
      <c r="D1608" s="4" t="s">
        <v>0</v>
      </c>
      <c r="E1608" s="4" t="s">
        <v>12</v>
      </c>
      <c r="F1608" s="2" t="s">
        <v>0</v>
      </c>
      <c r="G1608" s="2" t="str">
        <f t="shared" si="73"/>
        <v>01</v>
      </c>
      <c r="H1608" s="3">
        <v>413</v>
      </c>
    </row>
    <row r="1609" spans="1:8" ht="29.25" x14ac:dyDescent="0.25">
      <c r="A1609" s="2" t="str">
        <f>"00043204"</f>
        <v>00043204</v>
      </c>
      <c r="B1609" s="2" t="str">
        <f t="shared" si="71"/>
        <v>SG</v>
      </c>
      <c r="C1609" s="4" t="s">
        <v>1027</v>
      </c>
      <c r="D1609" s="4" t="s">
        <v>0</v>
      </c>
      <c r="E1609" s="4" t="s">
        <v>12</v>
      </c>
      <c r="F1609" s="2" t="s">
        <v>0</v>
      </c>
      <c r="G1609" s="2" t="str">
        <f t="shared" si="73"/>
        <v>01</v>
      </c>
      <c r="H1609" s="3">
        <v>413</v>
      </c>
    </row>
    <row r="1610" spans="1:8" ht="29.25" x14ac:dyDescent="0.25">
      <c r="A1610" s="2" t="str">
        <f>"00043205"</f>
        <v>00043205</v>
      </c>
      <c r="B1610" s="2" t="str">
        <f t="shared" si="71"/>
        <v>SG</v>
      </c>
      <c r="C1610" s="4" t="s">
        <v>1028</v>
      </c>
      <c r="D1610" s="4" t="s">
        <v>0</v>
      </c>
      <c r="E1610" s="4" t="s">
        <v>12</v>
      </c>
      <c r="F1610" s="2" t="s">
        <v>0</v>
      </c>
      <c r="G1610" s="2" t="str">
        <f t="shared" si="73"/>
        <v>01</v>
      </c>
      <c r="H1610" s="3">
        <v>413</v>
      </c>
    </row>
    <row r="1611" spans="1:8" ht="43.5" x14ac:dyDescent="0.25">
      <c r="A1611" s="2" t="str">
        <f>"00043211"</f>
        <v>00043211</v>
      </c>
      <c r="B1611" s="2" t="str">
        <f t="shared" si="71"/>
        <v>SG</v>
      </c>
      <c r="C1611" s="4" t="s">
        <v>1029</v>
      </c>
      <c r="D1611" s="4" t="s">
        <v>0</v>
      </c>
      <c r="E1611" s="4" t="s">
        <v>12</v>
      </c>
      <c r="F1611" s="2" t="s">
        <v>0</v>
      </c>
      <c r="G1611" s="2" t="str">
        <f t="shared" si="73"/>
        <v>01</v>
      </c>
      <c r="H1611" s="3">
        <v>413</v>
      </c>
    </row>
    <row r="1612" spans="1:8" ht="43.5" x14ac:dyDescent="0.25">
      <c r="A1612" s="2" t="str">
        <f>"00043212"</f>
        <v>00043212</v>
      </c>
      <c r="B1612" s="2" t="str">
        <f t="shared" si="71"/>
        <v>SG</v>
      </c>
      <c r="C1612" s="4" t="s">
        <v>1030</v>
      </c>
      <c r="D1612" s="4" t="s">
        <v>0</v>
      </c>
      <c r="E1612" s="4" t="s">
        <v>12</v>
      </c>
      <c r="F1612" s="2" t="s">
        <v>0</v>
      </c>
      <c r="G1612" s="2" t="str">
        <f t="shared" si="73"/>
        <v>01</v>
      </c>
      <c r="H1612" s="3">
        <v>413</v>
      </c>
    </row>
    <row r="1613" spans="1:8" ht="29.25" x14ac:dyDescent="0.25">
      <c r="A1613" s="2" t="str">
        <f>"00043213"</f>
        <v>00043213</v>
      </c>
      <c r="B1613" s="2" t="str">
        <f t="shared" ref="B1613:B1676" si="74">"SG"</f>
        <v>SG</v>
      </c>
      <c r="C1613" s="4" t="s">
        <v>1031</v>
      </c>
      <c r="D1613" s="4" t="s">
        <v>0</v>
      </c>
      <c r="E1613" s="4" t="s">
        <v>12</v>
      </c>
      <c r="F1613" s="2" t="s">
        <v>0</v>
      </c>
      <c r="G1613" s="2" t="str">
        <f t="shared" si="73"/>
        <v>01</v>
      </c>
      <c r="H1613" s="3">
        <v>413</v>
      </c>
    </row>
    <row r="1614" spans="1:8" ht="43.5" x14ac:dyDescent="0.25">
      <c r="A1614" s="2" t="str">
        <f>"00043214"</f>
        <v>00043214</v>
      </c>
      <c r="B1614" s="2" t="str">
        <f t="shared" si="74"/>
        <v>SG</v>
      </c>
      <c r="C1614" s="4" t="s">
        <v>1032</v>
      </c>
      <c r="D1614" s="4" t="s">
        <v>0</v>
      </c>
      <c r="E1614" s="4" t="s">
        <v>12</v>
      </c>
      <c r="F1614" s="2" t="s">
        <v>0</v>
      </c>
      <c r="G1614" s="2" t="str">
        <f t="shared" si="73"/>
        <v>01</v>
      </c>
      <c r="H1614" s="3">
        <v>413</v>
      </c>
    </row>
    <row r="1615" spans="1:8" x14ac:dyDescent="0.25">
      <c r="A1615" s="2" t="str">
        <f>"00043215"</f>
        <v>00043215</v>
      </c>
      <c r="B1615" s="2" t="str">
        <f t="shared" si="74"/>
        <v>SG</v>
      </c>
      <c r="C1615" s="4" t="s">
        <v>1024</v>
      </c>
      <c r="D1615" s="4" t="s">
        <v>0</v>
      </c>
      <c r="E1615" s="4" t="s">
        <v>12</v>
      </c>
      <c r="F1615" s="2" t="s">
        <v>0</v>
      </c>
      <c r="G1615" s="2" t="str">
        <f t="shared" si="73"/>
        <v>01</v>
      </c>
      <c r="H1615" s="3">
        <v>413</v>
      </c>
    </row>
    <row r="1616" spans="1:8" ht="29.25" x14ac:dyDescent="0.25">
      <c r="A1616" s="2" t="str">
        <f>"00043216"</f>
        <v>00043216</v>
      </c>
      <c r="B1616" s="2" t="str">
        <f t="shared" si="74"/>
        <v>SG</v>
      </c>
      <c r="C1616" s="4" t="s">
        <v>1033</v>
      </c>
      <c r="D1616" s="4" t="s">
        <v>0</v>
      </c>
      <c r="E1616" s="4" t="s">
        <v>12</v>
      </c>
      <c r="F1616" s="2" t="s">
        <v>0</v>
      </c>
      <c r="G1616" s="2" t="str">
        <f>"03"</f>
        <v>03</v>
      </c>
      <c r="H1616" s="3">
        <v>637</v>
      </c>
    </row>
    <row r="1617" spans="1:8" x14ac:dyDescent="0.25">
      <c r="A1617" s="2" t="str">
        <f>"00043217"</f>
        <v>00043217</v>
      </c>
      <c r="B1617" s="2" t="str">
        <f t="shared" si="74"/>
        <v>SG</v>
      </c>
      <c r="C1617" s="4" t="s">
        <v>1024</v>
      </c>
      <c r="D1617" s="4" t="s">
        <v>0</v>
      </c>
      <c r="E1617" s="4" t="s">
        <v>12</v>
      </c>
      <c r="F1617" s="2" t="s">
        <v>0</v>
      </c>
      <c r="G1617" s="2" t="str">
        <f>"01"</f>
        <v>01</v>
      </c>
      <c r="H1617" s="3">
        <v>413</v>
      </c>
    </row>
    <row r="1618" spans="1:8" ht="29.25" x14ac:dyDescent="0.25">
      <c r="A1618" s="2" t="str">
        <f>"00043220"</f>
        <v>00043220</v>
      </c>
      <c r="B1618" s="2" t="str">
        <f t="shared" si="74"/>
        <v>SG</v>
      </c>
      <c r="C1618" s="4" t="s">
        <v>1034</v>
      </c>
      <c r="D1618" s="4" t="s">
        <v>0</v>
      </c>
      <c r="E1618" s="4" t="s">
        <v>12</v>
      </c>
      <c r="F1618" s="2" t="s">
        <v>0</v>
      </c>
      <c r="G1618" s="2" t="str">
        <f>"01"</f>
        <v>01</v>
      </c>
      <c r="H1618" s="3">
        <v>413</v>
      </c>
    </row>
    <row r="1619" spans="1:8" ht="29.25" x14ac:dyDescent="0.25">
      <c r="A1619" s="2" t="str">
        <f>"00043226"</f>
        <v>00043226</v>
      </c>
      <c r="B1619" s="2" t="str">
        <f t="shared" si="74"/>
        <v>SG</v>
      </c>
      <c r="C1619" s="4" t="s">
        <v>1034</v>
      </c>
      <c r="D1619" s="4" t="s">
        <v>0</v>
      </c>
      <c r="E1619" s="4" t="s">
        <v>12</v>
      </c>
      <c r="F1619" s="2" t="s">
        <v>0</v>
      </c>
      <c r="G1619" s="2" t="str">
        <f>"01"</f>
        <v>01</v>
      </c>
      <c r="H1619" s="3">
        <v>413</v>
      </c>
    </row>
    <row r="1620" spans="1:8" ht="29.25" x14ac:dyDescent="0.25">
      <c r="A1620" s="2" t="str">
        <f>"00043227"</f>
        <v>00043227</v>
      </c>
      <c r="B1620" s="2" t="str">
        <f t="shared" si="74"/>
        <v>SG</v>
      </c>
      <c r="C1620" s="4" t="s">
        <v>1035</v>
      </c>
      <c r="D1620" s="4" t="s">
        <v>0</v>
      </c>
      <c r="E1620" s="4" t="s">
        <v>12</v>
      </c>
      <c r="F1620" s="2" t="s">
        <v>0</v>
      </c>
      <c r="G1620" s="2" t="str">
        <f>"02"</f>
        <v>02</v>
      </c>
      <c r="H1620" s="3">
        <v>552</v>
      </c>
    </row>
    <row r="1621" spans="1:8" ht="57.75" x14ac:dyDescent="0.25">
      <c r="A1621" s="2" t="str">
        <f>"00043229"</f>
        <v>00043229</v>
      </c>
      <c r="B1621" s="2" t="str">
        <f t="shared" si="74"/>
        <v>SG</v>
      </c>
      <c r="C1621" s="4" t="s">
        <v>1036</v>
      </c>
      <c r="D1621" s="4" t="s">
        <v>0</v>
      </c>
      <c r="E1621" s="4" t="s">
        <v>12</v>
      </c>
      <c r="F1621" s="2" t="s">
        <v>0</v>
      </c>
      <c r="G1621" s="2" t="str">
        <f>"03"</f>
        <v>03</v>
      </c>
      <c r="H1621" s="3">
        <v>637</v>
      </c>
    </row>
    <row r="1622" spans="1:8" ht="29.25" x14ac:dyDescent="0.25">
      <c r="A1622" s="2" t="str">
        <f>"00043231"</f>
        <v>00043231</v>
      </c>
      <c r="B1622" s="2" t="str">
        <f t="shared" si="74"/>
        <v>SG</v>
      </c>
      <c r="C1622" s="4" t="s">
        <v>1037</v>
      </c>
      <c r="D1622" s="4" t="s">
        <v>0</v>
      </c>
      <c r="E1622" s="4" t="s">
        <v>12</v>
      </c>
      <c r="F1622" s="2" t="s">
        <v>0</v>
      </c>
      <c r="G1622" s="2" t="str">
        <f>"01"</f>
        <v>01</v>
      </c>
      <c r="H1622" s="3">
        <v>413</v>
      </c>
    </row>
    <row r="1623" spans="1:8" ht="29.25" x14ac:dyDescent="0.25">
      <c r="A1623" s="2" t="str">
        <f>"00043232"</f>
        <v>00043232</v>
      </c>
      <c r="B1623" s="2" t="str">
        <f t="shared" si="74"/>
        <v>SG</v>
      </c>
      <c r="C1623" s="4" t="s">
        <v>1038</v>
      </c>
      <c r="D1623" s="4" t="s">
        <v>0</v>
      </c>
      <c r="E1623" s="4" t="s">
        <v>12</v>
      </c>
      <c r="F1623" s="2" t="s">
        <v>0</v>
      </c>
      <c r="G1623" s="2" t="str">
        <f>"02"</f>
        <v>02</v>
      </c>
      <c r="H1623" s="3">
        <v>552</v>
      </c>
    </row>
    <row r="1624" spans="1:8" ht="72" x14ac:dyDescent="0.25">
      <c r="A1624" s="2" t="str">
        <f>"00043233"</f>
        <v>00043233</v>
      </c>
      <c r="B1624" s="2" t="str">
        <f t="shared" si="74"/>
        <v>SG</v>
      </c>
      <c r="C1624" s="4" t="s">
        <v>1039</v>
      </c>
      <c r="D1624" s="4" t="s">
        <v>0</v>
      </c>
      <c r="E1624" s="4" t="s">
        <v>12</v>
      </c>
      <c r="F1624" s="2" t="s">
        <v>0</v>
      </c>
      <c r="G1624" s="2" t="str">
        <f t="shared" ref="G1624:G1629" si="75">"01"</f>
        <v>01</v>
      </c>
      <c r="H1624" s="3">
        <v>413</v>
      </c>
    </row>
    <row r="1625" spans="1:8" ht="29.25" x14ac:dyDescent="0.25">
      <c r="A1625" s="2" t="str">
        <f>"00043235"</f>
        <v>00043235</v>
      </c>
      <c r="B1625" s="2" t="str">
        <f t="shared" si="74"/>
        <v>SG</v>
      </c>
      <c r="C1625" s="4" t="s">
        <v>1040</v>
      </c>
      <c r="D1625" s="4" t="s">
        <v>0</v>
      </c>
      <c r="E1625" s="4" t="s">
        <v>12</v>
      </c>
      <c r="F1625" s="2" t="s">
        <v>0</v>
      </c>
      <c r="G1625" s="2" t="str">
        <f t="shared" si="75"/>
        <v>01</v>
      </c>
      <c r="H1625" s="3">
        <v>413</v>
      </c>
    </row>
    <row r="1626" spans="1:8" ht="29.25" x14ac:dyDescent="0.25">
      <c r="A1626" s="2" t="str">
        <f>"00043236"</f>
        <v>00043236</v>
      </c>
      <c r="B1626" s="2" t="str">
        <f t="shared" si="74"/>
        <v>SG</v>
      </c>
      <c r="C1626" s="4" t="s">
        <v>1041</v>
      </c>
      <c r="D1626" s="4" t="s">
        <v>0</v>
      </c>
      <c r="E1626" s="4" t="s">
        <v>12</v>
      </c>
      <c r="F1626" s="2" t="s">
        <v>0</v>
      </c>
      <c r="G1626" s="2" t="str">
        <f t="shared" si="75"/>
        <v>01</v>
      </c>
      <c r="H1626" s="3">
        <v>413</v>
      </c>
    </row>
    <row r="1627" spans="1:8" ht="29.25" x14ac:dyDescent="0.25">
      <c r="A1627" s="2" t="str">
        <f>"00043237"</f>
        <v>00043237</v>
      </c>
      <c r="B1627" s="2" t="str">
        <f t="shared" si="74"/>
        <v>SG</v>
      </c>
      <c r="C1627" s="4" t="s">
        <v>1042</v>
      </c>
      <c r="D1627" s="4" t="s">
        <v>0</v>
      </c>
      <c r="E1627" s="4" t="s">
        <v>12</v>
      </c>
      <c r="F1627" s="2" t="s">
        <v>0</v>
      </c>
      <c r="G1627" s="2" t="str">
        <f t="shared" si="75"/>
        <v>01</v>
      </c>
      <c r="H1627" s="3">
        <v>413</v>
      </c>
    </row>
    <row r="1628" spans="1:8" ht="29.25" x14ac:dyDescent="0.25">
      <c r="A1628" s="2" t="str">
        <f>"00043238"</f>
        <v>00043238</v>
      </c>
      <c r="B1628" s="2" t="str">
        <f t="shared" si="74"/>
        <v>SG</v>
      </c>
      <c r="C1628" s="4" t="s">
        <v>1043</v>
      </c>
      <c r="D1628" s="4" t="s">
        <v>0</v>
      </c>
      <c r="E1628" s="4" t="s">
        <v>12</v>
      </c>
      <c r="F1628" s="2" t="s">
        <v>0</v>
      </c>
      <c r="G1628" s="2" t="str">
        <f t="shared" si="75"/>
        <v>01</v>
      </c>
      <c r="H1628" s="3">
        <v>413</v>
      </c>
    </row>
    <row r="1629" spans="1:8" ht="29.25" x14ac:dyDescent="0.25">
      <c r="A1629" s="2" t="str">
        <f>"00043239"</f>
        <v>00043239</v>
      </c>
      <c r="B1629" s="2" t="str">
        <f t="shared" si="74"/>
        <v>SG</v>
      </c>
      <c r="C1629" s="4" t="s">
        <v>1044</v>
      </c>
      <c r="D1629" s="4" t="s">
        <v>0</v>
      </c>
      <c r="E1629" s="4" t="s">
        <v>12</v>
      </c>
      <c r="F1629" s="2" t="s">
        <v>0</v>
      </c>
      <c r="G1629" s="2" t="str">
        <f t="shared" si="75"/>
        <v>01</v>
      </c>
      <c r="H1629" s="3">
        <v>413</v>
      </c>
    </row>
    <row r="1630" spans="1:8" ht="29.25" x14ac:dyDescent="0.25">
      <c r="A1630" s="2" t="str">
        <f>"00043240"</f>
        <v>00043240</v>
      </c>
      <c r="B1630" s="2" t="str">
        <f t="shared" si="74"/>
        <v>SG</v>
      </c>
      <c r="C1630" s="4" t="s">
        <v>1045</v>
      </c>
      <c r="D1630" s="4" t="s">
        <v>0</v>
      </c>
      <c r="E1630" s="4" t="s">
        <v>12</v>
      </c>
      <c r="F1630" s="2" t="s">
        <v>0</v>
      </c>
      <c r="G1630" s="2" t="str">
        <f>"02"</f>
        <v>02</v>
      </c>
      <c r="H1630" s="3">
        <v>552</v>
      </c>
    </row>
    <row r="1631" spans="1:8" ht="29.25" x14ac:dyDescent="0.25">
      <c r="A1631" s="2" t="str">
        <f>"00043241"</f>
        <v>00043241</v>
      </c>
      <c r="B1631" s="2" t="str">
        <f t="shared" si="74"/>
        <v>SG</v>
      </c>
      <c r="C1631" s="4" t="s">
        <v>1046</v>
      </c>
      <c r="D1631" s="4" t="s">
        <v>0</v>
      </c>
      <c r="E1631" s="4" t="s">
        <v>12</v>
      </c>
      <c r="F1631" s="2" t="s">
        <v>0</v>
      </c>
      <c r="G1631" s="2" t="str">
        <f>"01"</f>
        <v>01</v>
      </c>
      <c r="H1631" s="3">
        <v>413</v>
      </c>
    </row>
    <row r="1632" spans="1:8" ht="29.25" x14ac:dyDescent="0.25">
      <c r="A1632" s="2" t="str">
        <f>"00043242"</f>
        <v>00043242</v>
      </c>
      <c r="B1632" s="2" t="str">
        <f t="shared" si="74"/>
        <v>SG</v>
      </c>
      <c r="C1632" s="4" t="s">
        <v>1043</v>
      </c>
      <c r="D1632" s="4" t="s">
        <v>0</v>
      </c>
      <c r="E1632" s="4" t="s">
        <v>12</v>
      </c>
      <c r="F1632" s="2" t="s">
        <v>0</v>
      </c>
      <c r="G1632" s="2" t="str">
        <f>"01"</f>
        <v>01</v>
      </c>
      <c r="H1632" s="3">
        <v>413</v>
      </c>
    </row>
    <row r="1633" spans="1:8" ht="29.25" x14ac:dyDescent="0.25">
      <c r="A1633" s="2" t="str">
        <f>"00043243"</f>
        <v>00043243</v>
      </c>
      <c r="B1633" s="2" t="str">
        <f t="shared" si="74"/>
        <v>SG</v>
      </c>
      <c r="C1633" s="4" t="s">
        <v>1047</v>
      </c>
      <c r="D1633" s="4" t="s">
        <v>0</v>
      </c>
      <c r="E1633" s="4" t="s">
        <v>12</v>
      </c>
      <c r="F1633" s="2" t="s">
        <v>0</v>
      </c>
      <c r="G1633" s="2" t="str">
        <f>"01"</f>
        <v>01</v>
      </c>
      <c r="H1633" s="3">
        <v>413</v>
      </c>
    </row>
    <row r="1634" spans="1:8" ht="29.25" x14ac:dyDescent="0.25">
      <c r="A1634" s="2" t="str">
        <f>"00043244"</f>
        <v>00043244</v>
      </c>
      <c r="B1634" s="2" t="str">
        <f t="shared" si="74"/>
        <v>SG</v>
      </c>
      <c r="C1634" s="4" t="s">
        <v>1048</v>
      </c>
      <c r="D1634" s="4" t="s">
        <v>0</v>
      </c>
      <c r="E1634" s="4" t="s">
        <v>12</v>
      </c>
      <c r="F1634" s="2" t="s">
        <v>0</v>
      </c>
      <c r="G1634" s="2" t="str">
        <f>"02"</f>
        <v>02</v>
      </c>
      <c r="H1634" s="3">
        <v>552</v>
      </c>
    </row>
    <row r="1635" spans="1:8" ht="29.25" x14ac:dyDescent="0.25">
      <c r="A1635" s="2" t="str">
        <f>"00043245"</f>
        <v>00043245</v>
      </c>
      <c r="B1635" s="2" t="str">
        <f t="shared" si="74"/>
        <v>SG</v>
      </c>
      <c r="C1635" s="4" t="s">
        <v>1049</v>
      </c>
      <c r="D1635" s="4" t="s">
        <v>0</v>
      </c>
      <c r="E1635" s="4" t="s">
        <v>12</v>
      </c>
      <c r="F1635" s="2" t="s">
        <v>0</v>
      </c>
      <c r="G1635" s="2" t="str">
        <f t="shared" ref="G1635:G1643" si="76">"01"</f>
        <v>01</v>
      </c>
      <c r="H1635" s="3">
        <v>413</v>
      </c>
    </row>
    <row r="1636" spans="1:8" ht="29.25" x14ac:dyDescent="0.25">
      <c r="A1636" s="2" t="str">
        <f>"00043246"</f>
        <v>00043246</v>
      </c>
      <c r="B1636" s="2" t="str">
        <f t="shared" si="74"/>
        <v>SG</v>
      </c>
      <c r="C1636" s="4" t="s">
        <v>1050</v>
      </c>
      <c r="D1636" s="4" t="s">
        <v>0</v>
      </c>
      <c r="E1636" s="4" t="s">
        <v>12</v>
      </c>
      <c r="F1636" s="2" t="s">
        <v>0</v>
      </c>
      <c r="G1636" s="2" t="str">
        <f t="shared" si="76"/>
        <v>01</v>
      </c>
      <c r="H1636" s="3">
        <v>413</v>
      </c>
    </row>
    <row r="1637" spans="1:8" ht="29.25" x14ac:dyDescent="0.25">
      <c r="A1637" s="2" t="str">
        <f>"00043247"</f>
        <v>00043247</v>
      </c>
      <c r="B1637" s="2" t="str">
        <f t="shared" si="74"/>
        <v>SG</v>
      </c>
      <c r="C1637" s="4" t="s">
        <v>1051</v>
      </c>
      <c r="D1637" s="4" t="s">
        <v>0</v>
      </c>
      <c r="E1637" s="4" t="s">
        <v>12</v>
      </c>
      <c r="F1637" s="2" t="s">
        <v>0</v>
      </c>
      <c r="G1637" s="2" t="str">
        <f t="shared" si="76"/>
        <v>01</v>
      </c>
      <c r="H1637" s="3">
        <v>413</v>
      </c>
    </row>
    <row r="1638" spans="1:8" ht="29.25" x14ac:dyDescent="0.25">
      <c r="A1638" s="2" t="str">
        <f>"00043248"</f>
        <v>00043248</v>
      </c>
      <c r="B1638" s="2" t="str">
        <f t="shared" si="74"/>
        <v>SG</v>
      </c>
      <c r="C1638" s="4" t="s">
        <v>1052</v>
      </c>
      <c r="D1638" s="4" t="s">
        <v>0</v>
      </c>
      <c r="E1638" s="4" t="s">
        <v>12</v>
      </c>
      <c r="F1638" s="2" t="s">
        <v>0</v>
      </c>
      <c r="G1638" s="2" t="str">
        <f t="shared" si="76"/>
        <v>01</v>
      </c>
      <c r="H1638" s="3">
        <v>413</v>
      </c>
    </row>
    <row r="1639" spans="1:8" ht="29.25" x14ac:dyDescent="0.25">
      <c r="A1639" s="2" t="str">
        <f>"00043249"</f>
        <v>00043249</v>
      </c>
      <c r="B1639" s="2" t="str">
        <f t="shared" si="74"/>
        <v>SG</v>
      </c>
      <c r="C1639" s="4" t="s">
        <v>1034</v>
      </c>
      <c r="D1639" s="4" t="s">
        <v>0</v>
      </c>
      <c r="E1639" s="4" t="s">
        <v>12</v>
      </c>
      <c r="F1639" s="2" t="s">
        <v>0</v>
      </c>
      <c r="G1639" s="2" t="str">
        <f t="shared" si="76"/>
        <v>01</v>
      </c>
      <c r="H1639" s="3">
        <v>413</v>
      </c>
    </row>
    <row r="1640" spans="1:8" ht="29.25" x14ac:dyDescent="0.25">
      <c r="A1640" s="2" t="str">
        <f>"00043250"</f>
        <v>00043250</v>
      </c>
      <c r="B1640" s="2" t="str">
        <f t="shared" si="74"/>
        <v>SG</v>
      </c>
      <c r="C1640" s="4" t="s">
        <v>1053</v>
      </c>
      <c r="D1640" s="4" t="s">
        <v>0</v>
      </c>
      <c r="E1640" s="4" t="s">
        <v>12</v>
      </c>
      <c r="F1640" s="2" t="s">
        <v>0</v>
      </c>
      <c r="G1640" s="2" t="str">
        <f t="shared" si="76"/>
        <v>01</v>
      </c>
      <c r="H1640" s="3">
        <v>413</v>
      </c>
    </row>
    <row r="1641" spans="1:8" ht="29.25" x14ac:dyDescent="0.25">
      <c r="A1641" s="2" t="str">
        <f>"00043251"</f>
        <v>00043251</v>
      </c>
      <c r="B1641" s="2" t="str">
        <f t="shared" si="74"/>
        <v>SG</v>
      </c>
      <c r="C1641" s="4" t="s">
        <v>1051</v>
      </c>
      <c r="D1641" s="4" t="s">
        <v>0</v>
      </c>
      <c r="E1641" s="4" t="s">
        <v>12</v>
      </c>
      <c r="F1641" s="2" t="s">
        <v>0</v>
      </c>
      <c r="G1641" s="2" t="str">
        <f t="shared" si="76"/>
        <v>01</v>
      </c>
      <c r="H1641" s="3">
        <v>413</v>
      </c>
    </row>
    <row r="1642" spans="1:8" ht="72" x14ac:dyDescent="0.25">
      <c r="A1642" s="2" t="str">
        <f>"00043254"</f>
        <v>00043254</v>
      </c>
      <c r="B1642" s="2" t="str">
        <f t="shared" si="74"/>
        <v>SG</v>
      </c>
      <c r="C1642" s="4" t="s">
        <v>1054</v>
      </c>
      <c r="D1642" s="4" t="s">
        <v>0</v>
      </c>
      <c r="E1642" s="4" t="s">
        <v>12</v>
      </c>
      <c r="F1642" s="2" t="s">
        <v>0</v>
      </c>
      <c r="G1642" s="2" t="str">
        <f t="shared" si="76"/>
        <v>01</v>
      </c>
      <c r="H1642" s="3">
        <v>413</v>
      </c>
    </row>
    <row r="1643" spans="1:8" ht="29.25" x14ac:dyDescent="0.25">
      <c r="A1643" s="2" t="str">
        <f>"00043255"</f>
        <v>00043255</v>
      </c>
      <c r="B1643" s="2" t="str">
        <f t="shared" si="74"/>
        <v>SG</v>
      </c>
      <c r="C1643" s="4" t="s">
        <v>1051</v>
      </c>
      <c r="D1643" s="4" t="s">
        <v>0</v>
      </c>
      <c r="E1643" s="4" t="s">
        <v>12</v>
      </c>
      <c r="F1643" s="2" t="s">
        <v>0</v>
      </c>
      <c r="G1643" s="2" t="str">
        <f t="shared" si="76"/>
        <v>01</v>
      </c>
      <c r="H1643" s="3">
        <v>413</v>
      </c>
    </row>
    <row r="1644" spans="1:8" ht="29.25" x14ac:dyDescent="0.25">
      <c r="A1644" s="2" t="str">
        <f>"00043257"</f>
        <v>00043257</v>
      </c>
      <c r="B1644" s="2" t="str">
        <f t="shared" si="74"/>
        <v>SG</v>
      </c>
      <c r="C1644" s="4" t="s">
        <v>1055</v>
      </c>
      <c r="D1644" s="4" t="s">
        <v>0</v>
      </c>
      <c r="E1644" s="4" t="s">
        <v>12</v>
      </c>
      <c r="F1644" s="2" t="s">
        <v>0</v>
      </c>
      <c r="G1644" s="2" t="str">
        <f>"03"</f>
        <v>03</v>
      </c>
      <c r="H1644" s="3">
        <v>637</v>
      </c>
    </row>
    <row r="1645" spans="1:8" ht="29.25" x14ac:dyDescent="0.25">
      <c r="A1645" s="2" t="str">
        <f>"00043259"</f>
        <v>00043259</v>
      </c>
      <c r="B1645" s="2" t="str">
        <f t="shared" si="74"/>
        <v>SG</v>
      </c>
      <c r="C1645" s="4" t="s">
        <v>1056</v>
      </c>
      <c r="D1645" s="4" t="s">
        <v>0</v>
      </c>
      <c r="E1645" s="4" t="s">
        <v>12</v>
      </c>
      <c r="F1645" s="2" t="s">
        <v>0</v>
      </c>
      <c r="G1645" s="2" t="str">
        <f>"01"</f>
        <v>01</v>
      </c>
      <c r="H1645" s="3">
        <v>413</v>
      </c>
    </row>
    <row r="1646" spans="1:8" ht="43.5" x14ac:dyDescent="0.25">
      <c r="A1646" s="2" t="str">
        <f>"00043260"</f>
        <v>00043260</v>
      </c>
      <c r="B1646" s="2" t="str">
        <f t="shared" si="74"/>
        <v>SG</v>
      </c>
      <c r="C1646" s="4" t="s">
        <v>1057</v>
      </c>
      <c r="D1646" s="4" t="s">
        <v>0</v>
      </c>
      <c r="E1646" s="4" t="s">
        <v>12</v>
      </c>
      <c r="F1646" s="2" t="s">
        <v>0</v>
      </c>
      <c r="G1646" s="2" t="str">
        <f t="shared" ref="G1646:G1651" si="77">"02"</f>
        <v>02</v>
      </c>
      <c r="H1646" s="3">
        <v>552</v>
      </c>
    </row>
    <row r="1647" spans="1:8" ht="43.5" x14ac:dyDescent="0.25">
      <c r="A1647" s="2" t="str">
        <f>"00043261"</f>
        <v>00043261</v>
      </c>
      <c r="B1647" s="2" t="str">
        <f t="shared" si="74"/>
        <v>SG</v>
      </c>
      <c r="C1647" s="4" t="s">
        <v>1057</v>
      </c>
      <c r="D1647" s="4" t="s">
        <v>0</v>
      </c>
      <c r="E1647" s="4" t="s">
        <v>12</v>
      </c>
      <c r="F1647" s="2" t="s">
        <v>0</v>
      </c>
      <c r="G1647" s="2" t="str">
        <f t="shared" si="77"/>
        <v>02</v>
      </c>
      <c r="H1647" s="3">
        <v>552</v>
      </c>
    </row>
    <row r="1648" spans="1:8" ht="43.5" x14ac:dyDescent="0.25">
      <c r="A1648" s="2" t="str">
        <f>"00043262"</f>
        <v>00043262</v>
      </c>
      <c r="B1648" s="2" t="str">
        <f t="shared" si="74"/>
        <v>SG</v>
      </c>
      <c r="C1648" s="4" t="s">
        <v>1057</v>
      </c>
      <c r="D1648" s="4" t="s">
        <v>0</v>
      </c>
      <c r="E1648" s="4" t="s">
        <v>12</v>
      </c>
      <c r="F1648" s="2" t="s">
        <v>0</v>
      </c>
      <c r="G1648" s="2" t="str">
        <f t="shared" si="77"/>
        <v>02</v>
      </c>
      <c r="H1648" s="3">
        <v>552</v>
      </c>
    </row>
    <row r="1649" spans="1:8" ht="43.5" x14ac:dyDescent="0.25">
      <c r="A1649" s="2" t="str">
        <f>"00043263"</f>
        <v>00043263</v>
      </c>
      <c r="B1649" s="2" t="str">
        <f t="shared" si="74"/>
        <v>SG</v>
      </c>
      <c r="C1649" s="4" t="s">
        <v>1057</v>
      </c>
      <c r="D1649" s="4" t="s">
        <v>0</v>
      </c>
      <c r="E1649" s="4" t="s">
        <v>12</v>
      </c>
      <c r="F1649" s="2" t="s">
        <v>0</v>
      </c>
      <c r="G1649" s="2" t="str">
        <f t="shared" si="77"/>
        <v>02</v>
      </c>
      <c r="H1649" s="3">
        <v>552</v>
      </c>
    </row>
    <row r="1650" spans="1:8" ht="43.5" x14ac:dyDescent="0.25">
      <c r="A1650" s="2" t="str">
        <f>"00043264"</f>
        <v>00043264</v>
      </c>
      <c r="B1650" s="2" t="str">
        <f t="shared" si="74"/>
        <v>SG</v>
      </c>
      <c r="C1650" s="4" t="s">
        <v>1057</v>
      </c>
      <c r="D1650" s="4" t="s">
        <v>0</v>
      </c>
      <c r="E1650" s="4" t="s">
        <v>12</v>
      </c>
      <c r="F1650" s="2" t="s">
        <v>0</v>
      </c>
      <c r="G1650" s="2" t="str">
        <f t="shared" si="77"/>
        <v>02</v>
      </c>
      <c r="H1650" s="3">
        <v>552</v>
      </c>
    </row>
    <row r="1651" spans="1:8" ht="43.5" x14ac:dyDescent="0.25">
      <c r="A1651" s="2" t="str">
        <f>"00043265"</f>
        <v>00043265</v>
      </c>
      <c r="B1651" s="2" t="str">
        <f t="shared" si="74"/>
        <v>SG</v>
      </c>
      <c r="C1651" s="4" t="s">
        <v>1057</v>
      </c>
      <c r="D1651" s="4" t="s">
        <v>0</v>
      </c>
      <c r="E1651" s="4" t="s">
        <v>12</v>
      </c>
      <c r="F1651" s="2" t="s">
        <v>0</v>
      </c>
      <c r="G1651" s="2" t="str">
        <f t="shared" si="77"/>
        <v>02</v>
      </c>
      <c r="H1651" s="3">
        <v>552</v>
      </c>
    </row>
    <row r="1652" spans="1:8" ht="86.25" x14ac:dyDescent="0.25">
      <c r="A1652" s="2" t="str">
        <f>"00043266"</f>
        <v>00043266</v>
      </c>
      <c r="B1652" s="2" t="str">
        <f t="shared" si="74"/>
        <v>SG</v>
      </c>
      <c r="C1652" s="4" t="s">
        <v>1058</v>
      </c>
      <c r="D1652" s="4" t="s">
        <v>0</v>
      </c>
      <c r="E1652" s="4" t="s">
        <v>12</v>
      </c>
      <c r="F1652" s="2" t="s">
        <v>0</v>
      </c>
      <c r="G1652" s="2" t="str">
        <f>"03"</f>
        <v>03</v>
      </c>
      <c r="H1652" s="3">
        <v>637</v>
      </c>
    </row>
    <row r="1653" spans="1:8" ht="86.25" x14ac:dyDescent="0.25">
      <c r="A1653" s="2" t="str">
        <f>"00043270"</f>
        <v>00043270</v>
      </c>
      <c r="B1653" s="2" t="str">
        <f t="shared" si="74"/>
        <v>SG</v>
      </c>
      <c r="C1653" s="4" t="s">
        <v>1059</v>
      </c>
      <c r="D1653" s="4" t="s">
        <v>0</v>
      </c>
      <c r="E1653" s="4" t="s">
        <v>12</v>
      </c>
      <c r="F1653" s="2" t="s">
        <v>0</v>
      </c>
      <c r="G1653" s="2" t="str">
        <f>"01"</f>
        <v>01</v>
      </c>
      <c r="H1653" s="3">
        <v>413</v>
      </c>
    </row>
    <row r="1654" spans="1:8" ht="86.25" x14ac:dyDescent="0.25">
      <c r="A1654" s="2" t="str">
        <f>"00043274"</f>
        <v>00043274</v>
      </c>
      <c r="B1654" s="2" t="str">
        <f t="shared" si="74"/>
        <v>SG</v>
      </c>
      <c r="C1654" s="4" t="s">
        <v>1060</v>
      </c>
      <c r="D1654" s="4" t="s">
        <v>0</v>
      </c>
      <c r="E1654" s="4" t="s">
        <v>12</v>
      </c>
      <c r="F1654" s="2" t="s">
        <v>0</v>
      </c>
      <c r="G1654" s="2" t="str">
        <f>"03"</f>
        <v>03</v>
      </c>
      <c r="H1654" s="3">
        <v>637</v>
      </c>
    </row>
    <row r="1655" spans="1:8" ht="72" x14ac:dyDescent="0.25">
      <c r="A1655" s="2" t="str">
        <f>"00043275"</f>
        <v>00043275</v>
      </c>
      <c r="B1655" s="2" t="str">
        <f t="shared" si="74"/>
        <v>SG</v>
      </c>
      <c r="C1655" s="4" t="s">
        <v>1061</v>
      </c>
      <c r="D1655" s="4" t="s">
        <v>0</v>
      </c>
      <c r="E1655" s="4" t="s">
        <v>12</v>
      </c>
      <c r="F1655" s="2" t="s">
        <v>0</v>
      </c>
      <c r="G1655" s="2" t="str">
        <f>"02"</f>
        <v>02</v>
      </c>
      <c r="H1655" s="3">
        <v>552</v>
      </c>
    </row>
    <row r="1656" spans="1:8" ht="43.5" x14ac:dyDescent="0.25">
      <c r="A1656" s="2" t="str">
        <f>"00043276"</f>
        <v>00043276</v>
      </c>
      <c r="B1656" s="2" t="str">
        <f t="shared" si="74"/>
        <v>SG</v>
      </c>
      <c r="C1656" s="4" t="s">
        <v>1062</v>
      </c>
      <c r="D1656" s="4" t="s">
        <v>0</v>
      </c>
      <c r="E1656" s="4" t="s">
        <v>12</v>
      </c>
      <c r="F1656" s="2" t="s">
        <v>0</v>
      </c>
      <c r="G1656" s="2" t="str">
        <f>"03"</f>
        <v>03</v>
      </c>
      <c r="H1656" s="3">
        <v>637</v>
      </c>
    </row>
    <row r="1657" spans="1:8" ht="72" x14ac:dyDescent="0.25">
      <c r="A1657" s="2" t="str">
        <f>"00043277"</f>
        <v>00043277</v>
      </c>
      <c r="B1657" s="2" t="str">
        <f t="shared" si="74"/>
        <v>SG</v>
      </c>
      <c r="C1657" s="4" t="s">
        <v>1063</v>
      </c>
      <c r="D1657" s="4" t="s">
        <v>0</v>
      </c>
      <c r="E1657" s="4" t="s">
        <v>12</v>
      </c>
      <c r="F1657" s="2" t="s">
        <v>0</v>
      </c>
      <c r="G1657" s="2" t="str">
        <f>"02"</f>
        <v>02</v>
      </c>
      <c r="H1657" s="3">
        <v>552</v>
      </c>
    </row>
    <row r="1658" spans="1:8" ht="86.25" x14ac:dyDescent="0.25">
      <c r="A1658" s="2" t="str">
        <f>"00043278"</f>
        <v>00043278</v>
      </c>
      <c r="B1658" s="2" t="str">
        <f t="shared" si="74"/>
        <v>SG</v>
      </c>
      <c r="C1658" s="4" t="s">
        <v>1064</v>
      </c>
      <c r="D1658" s="4" t="s">
        <v>0</v>
      </c>
      <c r="E1658" s="4" t="s">
        <v>12</v>
      </c>
      <c r="F1658" s="2" t="s">
        <v>0</v>
      </c>
      <c r="G1658" s="2" t="str">
        <f>"02"</f>
        <v>02</v>
      </c>
      <c r="H1658" s="3">
        <v>552</v>
      </c>
    </row>
    <row r="1659" spans="1:8" x14ac:dyDescent="0.25">
      <c r="A1659" s="2" t="str">
        <f>"00043450"</f>
        <v>00043450</v>
      </c>
      <c r="B1659" s="2" t="str">
        <f t="shared" si="74"/>
        <v>SG</v>
      </c>
      <c r="C1659" s="4" t="s">
        <v>1065</v>
      </c>
      <c r="D1659" s="4" t="s">
        <v>0</v>
      </c>
      <c r="E1659" s="4" t="s">
        <v>12</v>
      </c>
      <c r="F1659" s="2" t="s">
        <v>0</v>
      </c>
      <c r="G1659" s="2" t="str">
        <f>"01"</f>
        <v>01</v>
      </c>
      <c r="H1659" s="3">
        <v>413</v>
      </c>
    </row>
    <row r="1660" spans="1:8" x14ac:dyDescent="0.25">
      <c r="A1660" s="2" t="str">
        <f>"00043453"</f>
        <v>00043453</v>
      </c>
      <c r="B1660" s="2" t="str">
        <f t="shared" si="74"/>
        <v>SG</v>
      </c>
      <c r="C1660" s="4" t="s">
        <v>1065</v>
      </c>
      <c r="D1660" s="4" t="s">
        <v>0</v>
      </c>
      <c r="E1660" s="4" t="s">
        <v>12</v>
      </c>
      <c r="F1660" s="2" t="s">
        <v>0</v>
      </c>
      <c r="G1660" s="2" t="str">
        <f>"01"</f>
        <v>01</v>
      </c>
      <c r="H1660" s="3">
        <v>413</v>
      </c>
    </row>
    <row r="1661" spans="1:8" ht="29.25" x14ac:dyDescent="0.25">
      <c r="A1661" s="2" t="str">
        <f>"00043653"</f>
        <v>00043653</v>
      </c>
      <c r="B1661" s="2" t="str">
        <f t="shared" si="74"/>
        <v>SG</v>
      </c>
      <c r="C1661" s="4" t="s">
        <v>1066</v>
      </c>
      <c r="D1661" s="4" t="s">
        <v>0</v>
      </c>
      <c r="E1661" s="4" t="s">
        <v>12</v>
      </c>
      <c r="F1661" s="2" t="s">
        <v>0</v>
      </c>
      <c r="G1661" s="2" t="str">
        <f>"09"</f>
        <v>09</v>
      </c>
      <c r="H1661" s="3">
        <v>1662</v>
      </c>
    </row>
    <row r="1662" spans="1:8" ht="29.25" x14ac:dyDescent="0.25">
      <c r="A1662" s="2" t="str">
        <f>"00043761"</f>
        <v>00043761</v>
      </c>
      <c r="B1662" s="2" t="str">
        <f t="shared" si="74"/>
        <v>SG</v>
      </c>
      <c r="C1662" s="4" t="s">
        <v>1067</v>
      </c>
      <c r="D1662" s="4" t="s">
        <v>0</v>
      </c>
      <c r="E1662" s="4" t="s">
        <v>12</v>
      </c>
      <c r="F1662" s="2" t="s">
        <v>0</v>
      </c>
      <c r="G1662" s="2" t="str">
        <f>"01"</f>
        <v>01</v>
      </c>
      <c r="H1662" s="3">
        <v>413</v>
      </c>
    </row>
    <row r="1663" spans="1:8" ht="29.25" x14ac:dyDescent="0.25">
      <c r="A1663" s="2" t="str">
        <f>"00043762"</f>
        <v>00043762</v>
      </c>
      <c r="B1663" s="2" t="str">
        <f t="shared" si="74"/>
        <v>SG</v>
      </c>
      <c r="C1663" s="4" t="s">
        <v>1068</v>
      </c>
      <c r="D1663" s="4" t="s">
        <v>0</v>
      </c>
      <c r="E1663" s="4" t="s">
        <v>12</v>
      </c>
      <c r="F1663" s="2" t="s">
        <v>0</v>
      </c>
      <c r="G1663" s="2" t="str">
        <f>"01"</f>
        <v>01</v>
      </c>
      <c r="H1663" s="3">
        <v>413</v>
      </c>
    </row>
    <row r="1664" spans="1:8" ht="72" x14ac:dyDescent="0.25">
      <c r="A1664" s="2" t="str">
        <f>"00043763"</f>
        <v>00043763</v>
      </c>
      <c r="B1664" s="2" t="str">
        <f t="shared" si="74"/>
        <v>SG</v>
      </c>
      <c r="C1664" s="4" t="s">
        <v>1069</v>
      </c>
      <c r="D1664" s="4" t="s">
        <v>0</v>
      </c>
      <c r="E1664" s="4" t="s">
        <v>12</v>
      </c>
      <c r="F1664" s="2" t="s">
        <v>0</v>
      </c>
      <c r="G1664" s="2" t="str">
        <f>"01"</f>
        <v>01</v>
      </c>
      <c r="H1664" s="3">
        <v>413</v>
      </c>
    </row>
    <row r="1665" spans="1:8" x14ac:dyDescent="0.25">
      <c r="A1665" s="2" t="str">
        <f>"00043870"</f>
        <v>00043870</v>
      </c>
      <c r="B1665" s="2" t="str">
        <f t="shared" si="74"/>
        <v>SG</v>
      </c>
      <c r="C1665" s="4" t="s">
        <v>1070</v>
      </c>
      <c r="D1665" s="4" t="s">
        <v>0</v>
      </c>
      <c r="E1665" s="4" t="s">
        <v>12</v>
      </c>
      <c r="F1665" s="2" t="s">
        <v>0</v>
      </c>
      <c r="G1665" s="2" t="str">
        <f>"01"</f>
        <v>01</v>
      </c>
      <c r="H1665" s="3">
        <v>413</v>
      </c>
    </row>
    <row r="1666" spans="1:8" ht="72" x14ac:dyDescent="0.25">
      <c r="A1666" s="2" t="str">
        <f>"00043886"</f>
        <v>00043886</v>
      </c>
      <c r="B1666" s="2" t="str">
        <f t="shared" si="74"/>
        <v>SG</v>
      </c>
      <c r="C1666" s="4" t="s">
        <v>1071</v>
      </c>
      <c r="D1666" s="4" t="s">
        <v>0</v>
      </c>
      <c r="E1666" s="4" t="s">
        <v>12</v>
      </c>
      <c r="F1666" s="2" t="s">
        <v>0</v>
      </c>
      <c r="G1666" s="2" t="str">
        <f>"03"</f>
        <v>03</v>
      </c>
      <c r="H1666" s="3">
        <v>637</v>
      </c>
    </row>
    <row r="1667" spans="1:8" ht="72" x14ac:dyDescent="0.25">
      <c r="A1667" s="2" t="str">
        <f>"00043887"</f>
        <v>00043887</v>
      </c>
      <c r="B1667" s="2" t="str">
        <f t="shared" si="74"/>
        <v>SG</v>
      </c>
      <c r="C1667" s="4" t="s">
        <v>1072</v>
      </c>
      <c r="D1667" s="4" t="s">
        <v>0</v>
      </c>
      <c r="E1667" s="4" t="s">
        <v>12</v>
      </c>
      <c r="F1667" s="2" t="s">
        <v>0</v>
      </c>
      <c r="G1667" s="2" t="str">
        <f>"01"</f>
        <v>01</v>
      </c>
      <c r="H1667" s="3">
        <v>413</v>
      </c>
    </row>
    <row r="1668" spans="1:8" ht="72" x14ac:dyDescent="0.25">
      <c r="A1668" s="2" t="str">
        <f>"00043888"</f>
        <v>00043888</v>
      </c>
      <c r="B1668" s="2" t="str">
        <f t="shared" si="74"/>
        <v>SG</v>
      </c>
      <c r="C1668" s="4" t="s">
        <v>1073</v>
      </c>
      <c r="D1668" s="4" t="s">
        <v>0</v>
      </c>
      <c r="E1668" s="4" t="s">
        <v>12</v>
      </c>
      <c r="F1668" s="2" t="s">
        <v>0</v>
      </c>
      <c r="G1668" s="2" t="str">
        <f>"03"</f>
        <v>03</v>
      </c>
      <c r="H1668" s="3">
        <v>637</v>
      </c>
    </row>
    <row r="1669" spans="1:8" x14ac:dyDescent="0.25">
      <c r="A1669" s="2" t="str">
        <f>"00044100"</f>
        <v>00044100</v>
      </c>
      <c r="B1669" s="2" t="str">
        <f t="shared" si="74"/>
        <v>SG</v>
      </c>
      <c r="C1669" s="4" t="s">
        <v>1074</v>
      </c>
      <c r="D1669" s="4" t="s">
        <v>0</v>
      </c>
      <c r="E1669" s="4" t="s">
        <v>12</v>
      </c>
      <c r="F1669" s="2" t="s">
        <v>0</v>
      </c>
      <c r="G1669" s="2" t="str">
        <f>"01"</f>
        <v>01</v>
      </c>
      <c r="H1669" s="3">
        <v>413</v>
      </c>
    </row>
    <row r="1670" spans="1:8" x14ac:dyDescent="0.25">
      <c r="A1670" s="2" t="str">
        <f>"00044312"</f>
        <v>00044312</v>
      </c>
      <c r="B1670" s="2" t="str">
        <f t="shared" si="74"/>
        <v>SG</v>
      </c>
      <c r="C1670" s="4" t="s">
        <v>1075</v>
      </c>
      <c r="D1670" s="4" t="s">
        <v>0</v>
      </c>
      <c r="E1670" s="4" t="s">
        <v>12</v>
      </c>
      <c r="F1670" s="2" t="s">
        <v>0</v>
      </c>
      <c r="G1670" s="2" t="str">
        <f>"03"</f>
        <v>03</v>
      </c>
      <c r="H1670" s="3">
        <v>637</v>
      </c>
    </row>
    <row r="1671" spans="1:8" x14ac:dyDescent="0.25">
      <c r="A1671" s="2" t="str">
        <f>"00044340"</f>
        <v>00044340</v>
      </c>
      <c r="B1671" s="2" t="str">
        <f t="shared" si="74"/>
        <v>SG</v>
      </c>
      <c r="C1671" s="4" t="s">
        <v>1076</v>
      </c>
      <c r="D1671" s="4" t="s">
        <v>0</v>
      </c>
      <c r="E1671" s="4" t="s">
        <v>12</v>
      </c>
      <c r="F1671" s="2" t="s">
        <v>0</v>
      </c>
      <c r="G1671" s="2" t="str">
        <f>"03"</f>
        <v>03</v>
      </c>
      <c r="H1671" s="3">
        <v>637</v>
      </c>
    </row>
    <row r="1672" spans="1:8" ht="29.25" x14ac:dyDescent="0.25">
      <c r="A1672" s="2" t="str">
        <f>"00044360"</f>
        <v>00044360</v>
      </c>
      <c r="B1672" s="2" t="str">
        <f t="shared" si="74"/>
        <v>SG</v>
      </c>
      <c r="C1672" s="4" t="s">
        <v>1077</v>
      </c>
      <c r="D1672" s="4" t="s">
        <v>0</v>
      </c>
      <c r="E1672" s="4" t="s">
        <v>12</v>
      </c>
      <c r="F1672" s="2" t="s">
        <v>0</v>
      </c>
      <c r="G1672" s="2" t="str">
        <f t="shared" ref="G1672:G1678" si="78">"01"</f>
        <v>01</v>
      </c>
      <c r="H1672" s="3">
        <v>413</v>
      </c>
    </row>
    <row r="1673" spans="1:8" ht="29.25" x14ac:dyDescent="0.25">
      <c r="A1673" s="2" t="str">
        <f>"00044361"</f>
        <v>00044361</v>
      </c>
      <c r="B1673" s="2" t="str">
        <f t="shared" si="74"/>
        <v>SG</v>
      </c>
      <c r="C1673" s="4" t="s">
        <v>1078</v>
      </c>
      <c r="D1673" s="4" t="s">
        <v>0</v>
      </c>
      <c r="E1673" s="4" t="s">
        <v>12</v>
      </c>
      <c r="F1673" s="2" t="s">
        <v>0</v>
      </c>
      <c r="G1673" s="2" t="str">
        <f t="shared" si="78"/>
        <v>01</v>
      </c>
      <c r="H1673" s="3">
        <v>413</v>
      </c>
    </row>
    <row r="1674" spans="1:8" ht="29.25" x14ac:dyDescent="0.25">
      <c r="A1674" s="2" t="str">
        <f>"00044363"</f>
        <v>00044363</v>
      </c>
      <c r="B1674" s="2" t="str">
        <f t="shared" si="74"/>
        <v>SG</v>
      </c>
      <c r="C1674" s="4" t="s">
        <v>1077</v>
      </c>
      <c r="D1674" s="4" t="s">
        <v>0</v>
      </c>
      <c r="E1674" s="4" t="s">
        <v>12</v>
      </c>
      <c r="F1674" s="2" t="s">
        <v>0</v>
      </c>
      <c r="G1674" s="2" t="str">
        <f t="shared" si="78"/>
        <v>01</v>
      </c>
      <c r="H1674" s="3">
        <v>413</v>
      </c>
    </row>
    <row r="1675" spans="1:8" ht="29.25" x14ac:dyDescent="0.25">
      <c r="A1675" s="2" t="str">
        <f>"00044364"</f>
        <v>00044364</v>
      </c>
      <c r="B1675" s="2" t="str">
        <f t="shared" si="74"/>
        <v>SG</v>
      </c>
      <c r="C1675" s="4" t="s">
        <v>1077</v>
      </c>
      <c r="D1675" s="4" t="s">
        <v>0</v>
      </c>
      <c r="E1675" s="4" t="s">
        <v>12</v>
      </c>
      <c r="F1675" s="2" t="s">
        <v>0</v>
      </c>
      <c r="G1675" s="2" t="str">
        <f t="shared" si="78"/>
        <v>01</v>
      </c>
      <c r="H1675" s="3">
        <v>413</v>
      </c>
    </row>
    <row r="1676" spans="1:8" ht="29.25" x14ac:dyDescent="0.25">
      <c r="A1676" s="2" t="str">
        <f>"00044365"</f>
        <v>00044365</v>
      </c>
      <c r="B1676" s="2" t="str">
        <f t="shared" si="74"/>
        <v>SG</v>
      </c>
      <c r="C1676" s="4" t="s">
        <v>1077</v>
      </c>
      <c r="D1676" s="4" t="s">
        <v>0</v>
      </c>
      <c r="E1676" s="4" t="s">
        <v>12</v>
      </c>
      <c r="F1676" s="2" t="s">
        <v>0</v>
      </c>
      <c r="G1676" s="2" t="str">
        <f t="shared" si="78"/>
        <v>01</v>
      </c>
      <c r="H1676" s="3">
        <v>413</v>
      </c>
    </row>
    <row r="1677" spans="1:8" ht="29.25" x14ac:dyDescent="0.25">
      <c r="A1677" s="2" t="str">
        <f>"00044366"</f>
        <v>00044366</v>
      </c>
      <c r="B1677" s="2" t="str">
        <f t="shared" ref="B1677:B1740" si="79">"SG"</f>
        <v>SG</v>
      </c>
      <c r="C1677" s="4" t="s">
        <v>1077</v>
      </c>
      <c r="D1677" s="4" t="s">
        <v>0</v>
      </c>
      <c r="E1677" s="4" t="s">
        <v>12</v>
      </c>
      <c r="F1677" s="2" t="s">
        <v>0</v>
      </c>
      <c r="G1677" s="2" t="str">
        <f t="shared" si="78"/>
        <v>01</v>
      </c>
      <c r="H1677" s="3">
        <v>413</v>
      </c>
    </row>
    <row r="1678" spans="1:8" ht="29.25" x14ac:dyDescent="0.25">
      <c r="A1678" s="2" t="str">
        <f>"00044369"</f>
        <v>00044369</v>
      </c>
      <c r="B1678" s="2" t="str">
        <f t="shared" si="79"/>
        <v>SG</v>
      </c>
      <c r="C1678" s="4" t="s">
        <v>1077</v>
      </c>
      <c r="D1678" s="4" t="s">
        <v>0</v>
      </c>
      <c r="E1678" s="4" t="s">
        <v>12</v>
      </c>
      <c r="F1678" s="2" t="s">
        <v>0</v>
      </c>
      <c r="G1678" s="2" t="str">
        <f t="shared" si="78"/>
        <v>01</v>
      </c>
      <c r="H1678" s="3">
        <v>413</v>
      </c>
    </row>
    <row r="1679" spans="1:8" ht="29.25" x14ac:dyDescent="0.25">
      <c r="A1679" s="2" t="str">
        <f>"00044370"</f>
        <v>00044370</v>
      </c>
      <c r="B1679" s="2" t="str">
        <f t="shared" si="79"/>
        <v>SG</v>
      </c>
      <c r="C1679" s="4" t="s">
        <v>1079</v>
      </c>
      <c r="D1679" s="4" t="s">
        <v>0</v>
      </c>
      <c r="E1679" s="4" t="s">
        <v>12</v>
      </c>
      <c r="F1679" s="2" t="s">
        <v>0</v>
      </c>
      <c r="G1679" s="2" t="str">
        <f>"03"</f>
        <v>03</v>
      </c>
      <c r="H1679" s="3">
        <v>637</v>
      </c>
    </row>
    <row r="1680" spans="1:8" ht="29.25" x14ac:dyDescent="0.25">
      <c r="A1680" s="2" t="str">
        <f>"00044372"</f>
        <v>00044372</v>
      </c>
      <c r="B1680" s="2" t="str">
        <f t="shared" si="79"/>
        <v>SG</v>
      </c>
      <c r="C1680" s="4" t="s">
        <v>1077</v>
      </c>
      <c r="D1680" s="4" t="s">
        <v>0</v>
      </c>
      <c r="E1680" s="4" t="s">
        <v>12</v>
      </c>
      <c r="F1680" s="2" t="s">
        <v>0</v>
      </c>
      <c r="G1680" s="2" t="str">
        <f>"01"</f>
        <v>01</v>
      </c>
      <c r="H1680" s="3">
        <v>413</v>
      </c>
    </row>
    <row r="1681" spans="1:8" ht="29.25" x14ac:dyDescent="0.25">
      <c r="A1681" s="2" t="str">
        <f>"00044373"</f>
        <v>00044373</v>
      </c>
      <c r="B1681" s="2" t="str">
        <f t="shared" si="79"/>
        <v>SG</v>
      </c>
      <c r="C1681" s="4" t="s">
        <v>1077</v>
      </c>
      <c r="D1681" s="4" t="s">
        <v>0</v>
      </c>
      <c r="E1681" s="4" t="s">
        <v>12</v>
      </c>
      <c r="F1681" s="2" t="s">
        <v>0</v>
      </c>
      <c r="G1681" s="2" t="str">
        <f>"01"</f>
        <v>01</v>
      </c>
      <c r="H1681" s="3">
        <v>413</v>
      </c>
    </row>
    <row r="1682" spans="1:8" ht="29.25" x14ac:dyDescent="0.25">
      <c r="A1682" s="2" t="str">
        <f>"00044376"</f>
        <v>00044376</v>
      </c>
      <c r="B1682" s="2" t="str">
        <f t="shared" si="79"/>
        <v>SG</v>
      </c>
      <c r="C1682" s="4" t="s">
        <v>1077</v>
      </c>
      <c r="D1682" s="4" t="s">
        <v>0</v>
      </c>
      <c r="E1682" s="4" t="s">
        <v>12</v>
      </c>
      <c r="F1682" s="2" t="s">
        <v>0</v>
      </c>
      <c r="G1682" s="2" t="str">
        <f>"01"</f>
        <v>01</v>
      </c>
      <c r="H1682" s="3">
        <v>413</v>
      </c>
    </row>
    <row r="1683" spans="1:8" ht="29.25" x14ac:dyDescent="0.25">
      <c r="A1683" s="2" t="str">
        <f>"00044377"</f>
        <v>00044377</v>
      </c>
      <c r="B1683" s="2" t="str">
        <f t="shared" si="79"/>
        <v>SG</v>
      </c>
      <c r="C1683" s="4" t="s">
        <v>1078</v>
      </c>
      <c r="D1683" s="4" t="s">
        <v>0</v>
      </c>
      <c r="E1683" s="4" t="s">
        <v>12</v>
      </c>
      <c r="F1683" s="2" t="s">
        <v>0</v>
      </c>
      <c r="G1683" s="2" t="str">
        <f>"01"</f>
        <v>01</v>
      </c>
      <c r="H1683" s="3">
        <v>413</v>
      </c>
    </row>
    <row r="1684" spans="1:8" ht="29.25" x14ac:dyDescent="0.25">
      <c r="A1684" s="2" t="str">
        <f>"00044378"</f>
        <v>00044378</v>
      </c>
      <c r="B1684" s="2" t="str">
        <f t="shared" si="79"/>
        <v>SG</v>
      </c>
      <c r="C1684" s="4" t="s">
        <v>1077</v>
      </c>
      <c r="D1684" s="4" t="s">
        <v>0</v>
      </c>
      <c r="E1684" s="4" t="s">
        <v>12</v>
      </c>
      <c r="F1684" s="2" t="s">
        <v>0</v>
      </c>
      <c r="G1684" s="2" t="str">
        <f>"01"</f>
        <v>01</v>
      </c>
      <c r="H1684" s="3">
        <v>413</v>
      </c>
    </row>
    <row r="1685" spans="1:8" ht="29.25" x14ac:dyDescent="0.25">
      <c r="A1685" s="2" t="str">
        <f>"00044379"</f>
        <v>00044379</v>
      </c>
      <c r="B1685" s="2" t="str">
        <f t="shared" si="79"/>
        <v>SG</v>
      </c>
      <c r="C1685" s="4" t="s">
        <v>1080</v>
      </c>
      <c r="D1685" s="4" t="s">
        <v>0</v>
      </c>
      <c r="E1685" s="4" t="s">
        <v>12</v>
      </c>
      <c r="F1685" s="2" t="s">
        <v>0</v>
      </c>
      <c r="G1685" s="2" t="str">
        <f>"06"</f>
        <v>06</v>
      </c>
      <c r="H1685" s="3">
        <v>1000</v>
      </c>
    </row>
    <row r="1686" spans="1:8" ht="29.25" x14ac:dyDescent="0.25">
      <c r="A1686" s="2" t="str">
        <f>"00044380"</f>
        <v>00044380</v>
      </c>
      <c r="B1686" s="2" t="str">
        <f t="shared" si="79"/>
        <v>SG</v>
      </c>
      <c r="C1686" s="4" t="s">
        <v>1077</v>
      </c>
      <c r="D1686" s="4" t="s">
        <v>0</v>
      </c>
      <c r="E1686" s="4" t="s">
        <v>12</v>
      </c>
      <c r="F1686" s="2" t="s">
        <v>0</v>
      </c>
      <c r="G1686" s="2" t="str">
        <f t="shared" ref="G1686:G1696" si="80">"01"</f>
        <v>01</v>
      </c>
      <c r="H1686" s="3">
        <v>413</v>
      </c>
    </row>
    <row r="1687" spans="1:8" ht="29.25" x14ac:dyDescent="0.25">
      <c r="A1687" s="2" t="str">
        <f>"00044382"</f>
        <v>00044382</v>
      </c>
      <c r="B1687" s="2" t="str">
        <f t="shared" si="79"/>
        <v>SG</v>
      </c>
      <c r="C1687" s="4" t="s">
        <v>1077</v>
      </c>
      <c r="D1687" s="4" t="s">
        <v>0</v>
      </c>
      <c r="E1687" s="4" t="s">
        <v>12</v>
      </c>
      <c r="F1687" s="2" t="s">
        <v>0</v>
      </c>
      <c r="G1687" s="2" t="str">
        <f t="shared" si="80"/>
        <v>01</v>
      </c>
      <c r="H1687" s="3">
        <v>413</v>
      </c>
    </row>
    <row r="1688" spans="1:8" ht="29.25" x14ac:dyDescent="0.25">
      <c r="A1688" s="2" t="str">
        <f>"00044385"</f>
        <v>00044385</v>
      </c>
      <c r="B1688" s="2" t="str">
        <f t="shared" si="79"/>
        <v>SG</v>
      </c>
      <c r="C1688" s="4" t="s">
        <v>1081</v>
      </c>
      <c r="D1688" s="4" t="s">
        <v>0</v>
      </c>
      <c r="E1688" s="4" t="s">
        <v>12</v>
      </c>
      <c r="F1688" s="2" t="s">
        <v>0</v>
      </c>
      <c r="G1688" s="2" t="str">
        <f t="shared" si="80"/>
        <v>01</v>
      </c>
      <c r="H1688" s="3">
        <v>413</v>
      </c>
    </row>
    <row r="1689" spans="1:8" ht="29.25" x14ac:dyDescent="0.25">
      <c r="A1689" s="2" t="str">
        <f>"00044386"</f>
        <v>00044386</v>
      </c>
      <c r="B1689" s="2" t="str">
        <f t="shared" si="79"/>
        <v>SG</v>
      </c>
      <c r="C1689" s="4" t="s">
        <v>1082</v>
      </c>
      <c r="D1689" s="4" t="s">
        <v>0</v>
      </c>
      <c r="E1689" s="4" t="s">
        <v>12</v>
      </c>
      <c r="F1689" s="2" t="s">
        <v>0</v>
      </c>
      <c r="G1689" s="2" t="str">
        <f t="shared" si="80"/>
        <v>01</v>
      </c>
      <c r="H1689" s="3">
        <v>413</v>
      </c>
    </row>
    <row r="1690" spans="1:8" x14ac:dyDescent="0.25">
      <c r="A1690" s="2" t="str">
        <f>"00044388"</f>
        <v>00044388</v>
      </c>
      <c r="B1690" s="2" t="str">
        <f t="shared" si="79"/>
        <v>SG</v>
      </c>
      <c r="C1690" s="4" t="s">
        <v>1083</v>
      </c>
      <c r="D1690" s="4" t="s">
        <v>0</v>
      </c>
      <c r="E1690" s="4" t="s">
        <v>12</v>
      </c>
      <c r="F1690" s="2" t="s">
        <v>0</v>
      </c>
      <c r="G1690" s="2" t="str">
        <f t="shared" si="80"/>
        <v>01</v>
      </c>
      <c r="H1690" s="3">
        <v>413</v>
      </c>
    </row>
    <row r="1691" spans="1:8" ht="29.25" x14ac:dyDescent="0.25">
      <c r="A1691" s="2" t="str">
        <f>"00044389"</f>
        <v>00044389</v>
      </c>
      <c r="B1691" s="2" t="str">
        <f t="shared" si="79"/>
        <v>SG</v>
      </c>
      <c r="C1691" s="4" t="s">
        <v>1084</v>
      </c>
      <c r="D1691" s="4" t="s">
        <v>0</v>
      </c>
      <c r="E1691" s="4" t="s">
        <v>12</v>
      </c>
      <c r="F1691" s="2" t="s">
        <v>0</v>
      </c>
      <c r="G1691" s="2" t="str">
        <f t="shared" si="80"/>
        <v>01</v>
      </c>
      <c r="H1691" s="3">
        <v>413</v>
      </c>
    </row>
    <row r="1692" spans="1:8" ht="29.25" x14ac:dyDescent="0.25">
      <c r="A1692" s="2" t="str">
        <f>"00044390"</f>
        <v>00044390</v>
      </c>
      <c r="B1692" s="2" t="str">
        <f t="shared" si="79"/>
        <v>SG</v>
      </c>
      <c r="C1692" s="4" t="s">
        <v>1085</v>
      </c>
      <c r="D1692" s="4" t="s">
        <v>0</v>
      </c>
      <c r="E1692" s="4" t="s">
        <v>12</v>
      </c>
      <c r="F1692" s="2" t="s">
        <v>0</v>
      </c>
      <c r="G1692" s="2" t="str">
        <f t="shared" si="80"/>
        <v>01</v>
      </c>
      <c r="H1692" s="3">
        <v>413</v>
      </c>
    </row>
    <row r="1693" spans="1:8" ht="29.25" x14ac:dyDescent="0.25">
      <c r="A1693" s="2" t="str">
        <f>"00044391"</f>
        <v>00044391</v>
      </c>
      <c r="B1693" s="2" t="str">
        <f t="shared" si="79"/>
        <v>SG</v>
      </c>
      <c r="C1693" s="4" t="s">
        <v>1086</v>
      </c>
      <c r="D1693" s="4" t="s">
        <v>0</v>
      </c>
      <c r="E1693" s="4" t="s">
        <v>12</v>
      </c>
      <c r="F1693" s="2" t="s">
        <v>0</v>
      </c>
      <c r="G1693" s="2" t="str">
        <f t="shared" si="80"/>
        <v>01</v>
      </c>
      <c r="H1693" s="3">
        <v>413</v>
      </c>
    </row>
    <row r="1694" spans="1:8" ht="29.25" x14ac:dyDescent="0.25">
      <c r="A1694" s="2" t="str">
        <f>"00044392"</f>
        <v>00044392</v>
      </c>
      <c r="B1694" s="2" t="str">
        <f t="shared" si="79"/>
        <v>SG</v>
      </c>
      <c r="C1694" s="4" t="s">
        <v>1087</v>
      </c>
      <c r="D1694" s="4" t="s">
        <v>0</v>
      </c>
      <c r="E1694" s="4" t="s">
        <v>12</v>
      </c>
      <c r="F1694" s="2" t="s">
        <v>0</v>
      </c>
      <c r="G1694" s="2" t="str">
        <f t="shared" si="80"/>
        <v>01</v>
      </c>
      <c r="H1694" s="3">
        <v>413</v>
      </c>
    </row>
    <row r="1695" spans="1:8" x14ac:dyDescent="0.25">
      <c r="A1695" s="2" t="str">
        <f>"00044394"</f>
        <v>00044394</v>
      </c>
      <c r="B1695" s="2" t="str">
        <f t="shared" si="79"/>
        <v>SG</v>
      </c>
      <c r="C1695" s="4" t="s">
        <v>1088</v>
      </c>
      <c r="D1695" s="4" t="s">
        <v>0</v>
      </c>
      <c r="E1695" s="4" t="s">
        <v>12</v>
      </c>
      <c r="F1695" s="2" t="s">
        <v>0</v>
      </c>
      <c r="G1695" s="2" t="str">
        <f t="shared" si="80"/>
        <v>01</v>
      </c>
      <c r="H1695" s="3">
        <v>413</v>
      </c>
    </row>
    <row r="1696" spans="1:8" ht="72" x14ac:dyDescent="0.25">
      <c r="A1696" s="2" t="str">
        <f>"00044402"</f>
        <v>00044402</v>
      </c>
      <c r="B1696" s="2" t="str">
        <f t="shared" si="79"/>
        <v>SG</v>
      </c>
      <c r="C1696" s="4" t="s">
        <v>1089</v>
      </c>
      <c r="D1696" s="4" t="s">
        <v>0</v>
      </c>
      <c r="E1696" s="4" t="s">
        <v>12</v>
      </c>
      <c r="F1696" s="2" t="s">
        <v>0</v>
      </c>
      <c r="G1696" s="2" t="str">
        <f t="shared" si="80"/>
        <v>01</v>
      </c>
      <c r="H1696" s="3">
        <v>413</v>
      </c>
    </row>
    <row r="1697" spans="1:8" ht="29.25" x14ac:dyDescent="0.25">
      <c r="A1697" s="2" t="str">
        <f>"00045000"</f>
        <v>00045000</v>
      </c>
      <c r="B1697" s="2" t="str">
        <f t="shared" si="79"/>
        <v>SG</v>
      </c>
      <c r="C1697" s="4" t="s">
        <v>1090</v>
      </c>
      <c r="D1697" s="4" t="s">
        <v>0</v>
      </c>
      <c r="E1697" s="4" t="s">
        <v>12</v>
      </c>
      <c r="F1697" s="2" t="s">
        <v>0</v>
      </c>
      <c r="G1697" s="2" t="str">
        <f>"03"</f>
        <v>03</v>
      </c>
      <c r="H1697" s="3">
        <v>637</v>
      </c>
    </row>
    <row r="1698" spans="1:8" ht="29.25" x14ac:dyDescent="0.25">
      <c r="A1698" s="2" t="str">
        <f>"00045005"</f>
        <v>00045005</v>
      </c>
      <c r="B1698" s="2" t="str">
        <f t="shared" si="79"/>
        <v>SG</v>
      </c>
      <c r="C1698" s="4" t="s">
        <v>1091</v>
      </c>
      <c r="D1698" s="4" t="s">
        <v>0</v>
      </c>
      <c r="E1698" s="4" t="s">
        <v>12</v>
      </c>
      <c r="F1698" s="2" t="s">
        <v>0</v>
      </c>
      <c r="G1698" s="2" t="str">
        <f>"01"</f>
        <v>01</v>
      </c>
      <c r="H1698" s="3">
        <v>413</v>
      </c>
    </row>
    <row r="1699" spans="1:8" ht="29.25" x14ac:dyDescent="0.25">
      <c r="A1699" s="2" t="str">
        <f>"00045020"</f>
        <v>00045020</v>
      </c>
      <c r="B1699" s="2" t="str">
        <f t="shared" si="79"/>
        <v>SG</v>
      </c>
      <c r="C1699" s="4" t="s">
        <v>1091</v>
      </c>
      <c r="D1699" s="4" t="s">
        <v>0</v>
      </c>
      <c r="E1699" s="4" t="s">
        <v>12</v>
      </c>
      <c r="F1699" s="2" t="s">
        <v>0</v>
      </c>
      <c r="G1699" s="2" t="str">
        <f>"01"</f>
        <v>01</v>
      </c>
      <c r="H1699" s="3">
        <v>413</v>
      </c>
    </row>
    <row r="1700" spans="1:8" x14ac:dyDescent="0.25">
      <c r="A1700" s="2" t="str">
        <f>"00045100"</f>
        <v>00045100</v>
      </c>
      <c r="B1700" s="2" t="str">
        <f t="shared" si="79"/>
        <v>SG</v>
      </c>
      <c r="C1700" s="4" t="s">
        <v>1092</v>
      </c>
      <c r="D1700" s="4" t="s">
        <v>0</v>
      </c>
      <c r="E1700" s="4" t="s">
        <v>12</v>
      </c>
      <c r="F1700" s="2" t="s">
        <v>0</v>
      </c>
      <c r="G1700" s="2" t="str">
        <f>"01"</f>
        <v>01</v>
      </c>
      <c r="H1700" s="3">
        <v>413</v>
      </c>
    </row>
    <row r="1701" spans="1:8" ht="29.25" x14ac:dyDescent="0.25">
      <c r="A1701" s="2" t="str">
        <f>"00045108"</f>
        <v>00045108</v>
      </c>
      <c r="B1701" s="2" t="str">
        <f t="shared" si="79"/>
        <v>SG</v>
      </c>
      <c r="C1701" s="4" t="s">
        <v>1093</v>
      </c>
      <c r="D1701" s="4" t="s">
        <v>0</v>
      </c>
      <c r="E1701" s="4" t="s">
        <v>12</v>
      </c>
      <c r="F1701" s="2" t="s">
        <v>0</v>
      </c>
      <c r="G1701" s="2" t="str">
        <f>"02"</f>
        <v>02</v>
      </c>
      <c r="H1701" s="3">
        <v>552</v>
      </c>
    </row>
    <row r="1702" spans="1:8" ht="29.25" x14ac:dyDescent="0.25">
      <c r="A1702" s="2" t="str">
        <f>"00045150"</f>
        <v>00045150</v>
      </c>
      <c r="B1702" s="2" t="str">
        <f t="shared" si="79"/>
        <v>SG</v>
      </c>
      <c r="C1702" s="4" t="s">
        <v>1094</v>
      </c>
      <c r="D1702" s="4" t="s">
        <v>0</v>
      </c>
      <c r="E1702" s="4" t="s">
        <v>12</v>
      </c>
      <c r="F1702" s="2" t="s">
        <v>0</v>
      </c>
      <c r="G1702" s="2" t="str">
        <f>"02"</f>
        <v>02</v>
      </c>
      <c r="H1702" s="3">
        <v>552</v>
      </c>
    </row>
    <row r="1703" spans="1:8" ht="29.25" x14ac:dyDescent="0.25">
      <c r="A1703" s="2" t="str">
        <f>"00045160"</f>
        <v>00045160</v>
      </c>
      <c r="B1703" s="2" t="str">
        <f t="shared" si="79"/>
        <v>SG</v>
      </c>
      <c r="C1703" s="4" t="s">
        <v>1095</v>
      </c>
      <c r="D1703" s="4" t="s">
        <v>0</v>
      </c>
      <c r="E1703" s="4" t="s">
        <v>12</v>
      </c>
      <c r="F1703" s="2" t="s">
        <v>0</v>
      </c>
      <c r="G1703" s="2" t="str">
        <f>"02"</f>
        <v>02</v>
      </c>
      <c r="H1703" s="3">
        <v>552</v>
      </c>
    </row>
    <row r="1704" spans="1:8" ht="29.25" x14ac:dyDescent="0.25">
      <c r="A1704" s="2" t="str">
        <f>"00045171"</f>
        <v>00045171</v>
      </c>
      <c r="B1704" s="2" t="str">
        <f t="shared" si="79"/>
        <v>SG</v>
      </c>
      <c r="C1704" s="4" t="s">
        <v>1096</v>
      </c>
      <c r="D1704" s="4" t="s">
        <v>0</v>
      </c>
      <c r="E1704" s="4" t="s">
        <v>12</v>
      </c>
      <c r="F1704" s="2" t="s">
        <v>0</v>
      </c>
      <c r="G1704" s="2" t="str">
        <f>"02"</f>
        <v>02</v>
      </c>
      <c r="H1704" s="3">
        <v>552</v>
      </c>
    </row>
    <row r="1705" spans="1:8" ht="29.25" x14ac:dyDescent="0.25">
      <c r="A1705" s="2" t="str">
        <f>"00045172"</f>
        <v>00045172</v>
      </c>
      <c r="B1705" s="2" t="str">
        <f t="shared" si="79"/>
        <v>SG</v>
      </c>
      <c r="C1705" s="4" t="s">
        <v>1097</v>
      </c>
      <c r="D1705" s="4" t="s">
        <v>0</v>
      </c>
      <c r="E1705" s="4" t="s">
        <v>12</v>
      </c>
      <c r="F1705" s="2" t="s">
        <v>0</v>
      </c>
      <c r="G1705" s="2" t="str">
        <f>"04"</f>
        <v>04</v>
      </c>
      <c r="H1705" s="3">
        <v>785</v>
      </c>
    </row>
    <row r="1706" spans="1:8" ht="29.25" x14ac:dyDescent="0.25">
      <c r="A1706" s="2" t="str">
        <f>"00045190"</f>
        <v>00045190</v>
      </c>
      <c r="B1706" s="2" t="str">
        <f t="shared" si="79"/>
        <v>SG</v>
      </c>
      <c r="C1706" s="4" t="s">
        <v>1098</v>
      </c>
      <c r="D1706" s="4" t="s">
        <v>0</v>
      </c>
      <c r="E1706" s="4" t="s">
        <v>12</v>
      </c>
      <c r="F1706" s="2" t="s">
        <v>0</v>
      </c>
      <c r="G1706" s="2" t="str">
        <f>"03"</f>
        <v>03</v>
      </c>
      <c r="H1706" s="3">
        <v>637</v>
      </c>
    </row>
    <row r="1707" spans="1:8" ht="29.25" x14ac:dyDescent="0.25">
      <c r="A1707" s="2" t="str">
        <f>"00045305"</f>
        <v>00045305</v>
      </c>
      <c r="B1707" s="2" t="str">
        <f t="shared" si="79"/>
        <v>SG</v>
      </c>
      <c r="C1707" s="4" t="s">
        <v>1099</v>
      </c>
      <c r="D1707" s="4" t="s">
        <v>0</v>
      </c>
      <c r="E1707" s="4" t="s">
        <v>12</v>
      </c>
      <c r="F1707" s="2" t="s">
        <v>0</v>
      </c>
      <c r="G1707" s="2" t="str">
        <f>"01"</f>
        <v>01</v>
      </c>
      <c r="H1707" s="3">
        <v>413</v>
      </c>
    </row>
    <row r="1708" spans="1:8" ht="29.25" x14ac:dyDescent="0.25">
      <c r="A1708" s="2" t="str">
        <f>"00045307"</f>
        <v>00045307</v>
      </c>
      <c r="B1708" s="2" t="str">
        <f t="shared" si="79"/>
        <v>SG</v>
      </c>
      <c r="C1708" s="4" t="s">
        <v>1100</v>
      </c>
      <c r="D1708" s="4" t="s">
        <v>0</v>
      </c>
      <c r="E1708" s="4" t="s">
        <v>12</v>
      </c>
      <c r="F1708" s="2" t="s">
        <v>0</v>
      </c>
      <c r="G1708" s="2" t="str">
        <f>"02"</f>
        <v>02</v>
      </c>
      <c r="H1708" s="3">
        <v>552</v>
      </c>
    </row>
    <row r="1709" spans="1:8" ht="29.25" x14ac:dyDescent="0.25">
      <c r="A1709" s="2" t="str">
        <f>"00045308"</f>
        <v>00045308</v>
      </c>
      <c r="B1709" s="2" t="str">
        <f t="shared" si="79"/>
        <v>SG</v>
      </c>
      <c r="C1709" s="4" t="s">
        <v>1101</v>
      </c>
      <c r="D1709" s="4" t="s">
        <v>0</v>
      </c>
      <c r="E1709" s="4" t="s">
        <v>12</v>
      </c>
      <c r="F1709" s="2" t="s">
        <v>0</v>
      </c>
      <c r="G1709" s="2" t="str">
        <f>"01"</f>
        <v>01</v>
      </c>
      <c r="H1709" s="3">
        <v>413</v>
      </c>
    </row>
    <row r="1710" spans="1:8" ht="29.25" x14ac:dyDescent="0.25">
      <c r="A1710" s="2" t="str">
        <f>"00045309"</f>
        <v>00045309</v>
      </c>
      <c r="B1710" s="2" t="str">
        <f t="shared" si="79"/>
        <v>SG</v>
      </c>
      <c r="C1710" s="4" t="s">
        <v>1101</v>
      </c>
      <c r="D1710" s="4" t="s">
        <v>0</v>
      </c>
      <c r="E1710" s="4" t="s">
        <v>12</v>
      </c>
      <c r="F1710" s="2" t="s">
        <v>0</v>
      </c>
      <c r="G1710" s="2" t="str">
        <f>"01"</f>
        <v>01</v>
      </c>
      <c r="H1710" s="3">
        <v>413</v>
      </c>
    </row>
    <row r="1711" spans="1:8" ht="29.25" x14ac:dyDescent="0.25">
      <c r="A1711" s="2" t="str">
        <f>"00045315"</f>
        <v>00045315</v>
      </c>
      <c r="B1711" s="2" t="str">
        <f t="shared" si="79"/>
        <v>SG</v>
      </c>
      <c r="C1711" s="4" t="s">
        <v>1101</v>
      </c>
      <c r="D1711" s="4" t="s">
        <v>0</v>
      </c>
      <c r="E1711" s="4" t="s">
        <v>12</v>
      </c>
      <c r="F1711" s="2" t="s">
        <v>0</v>
      </c>
      <c r="G1711" s="2" t="str">
        <f>"01"</f>
        <v>01</v>
      </c>
      <c r="H1711" s="3">
        <v>413</v>
      </c>
    </row>
    <row r="1712" spans="1:8" ht="29.25" x14ac:dyDescent="0.25">
      <c r="A1712" s="2" t="str">
        <f>"00045317"</f>
        <v>00045317</v>
      </c>
      <c r="B1712" s="2" t="str">
        <f t="shared" si="79"/>
        <v>SG</v>
      </c>
      <c r="C1712" s="4" t="s">
        <v>1102</v>
      </c>
      <c r="D1712" s="4" t="s">
        <v>0</v>
      </c>
      <c r="E1712" s="4" t="s">
        <v>12</v>
      </c>
      <c r="F1712" s="2" t="s">
        <v>0</v>
      </c>
      <c r="G1712" s="2" t="str">
        <f>"01"</f>
        <v>01</v>
      </c>
      <c r="H1712" s="3">
        <v>413</v>
      </c>
    </row>
    <row r="1713" spans="1:8" ht="29.25" x14ac:dyDescent="0.25">
      <c r="A1713" s="2" t="str">
        <f>"00045320"</f>
        <v>00045320</v>
      </c>
      <c r="B1713" s="2" t="str">
        <f t="shared" si="79"/>
        <v>SG</v>
      </c>
      <c r="C1713" s="4" t="s">
        <v>1103</v>
      </c>
      <c r="D1713" s="4" t="s">
        <v>0</v>
      </c>
      <c r="E1713" s="4" t="s">
        <v>12</v>
      </c>
      <c r="F1713" s="2" t="s">
        <v>0</v>
      </c>
      <c r="G1713" s="2" t="str">
        <f>"02"</f>
        <v>02</v>
      </c>
      <c r="H1713" s="3">
        <v>552</v>
      </c>
    </row>
    <row r="1714" spans="1:8" ht="29.25" x14ac:dyDescent="0.25">
      <c r="A1714" s="2" t="str">
        <f>"00045321"</f>
        <v>00045321</v>
      </c>
      <c r="B1714" s="2" t="str">
        <f t="shared" si="79"/>
        <v>SG</v>
      </c>
      <c r="C1714" s="4" t="s">
        <v>1104</v>
      </c>
      <c r="D1714" s="4" t="s">
        <v>0</v>
      </c>
      <c r="E1714" s="4" t="s">
        <v>12</v>
      </c>
      <c r="F1714" s="2" t="s">
        <v>0</v>
      </c>
      <c r="G1714" s="2" t="str">
        <f>"02"</f>
        <v>02</v>
      </c>
      <c r="H1714" s="3">
        <v>552</v>
      </c>
    </row>
    <row r="1715" spans="1:8" ht="29.25" x14ac:dyDescent="0.25">
      <c r="A1715" s="2" t="str">
        <f>"00045327"</f>
        <v>00045327</v>
      </c>
      <c r="B1715" s="2" t="str">
        <f t="shared" si="79"/>
        <v>SG</v>
      </c>
      <c r="C1715" s="4" t="s">
        <v>1105</v>
      </c>
      <c r="D1715" s="4" t="s">
        <v>0</v>
      </c>
      <c r="E1715" s="4" t="s">
        <v>12</v>
      </c>
      <c r="F1715" s="2" t="s">
        <v>0</v>
      </c>
      <c r="G1715" s="2" t="str">
        <f>"03"</f>
        <v>03</v>
      </c>
      <c r="H1715" s="3">
        <v>637</v>
      </c>
    </row>
    <row r="1716" spans="1:8" ht="72" x14ac:dyDescent="0.25">
      <c r="A1716" s="2" t="str">
        <f>"00045330"</f>
        <v>00045330</v>
      </c>
      <c r="B1716" s="2" t="str">
        <f t="shared" si="79"/>
        <v>SG</v>
      </c>
      <c r="C1716" s="4" t="s">
        <v>1106</v>
      </c>
      <c r="D1716" s="4" t="s">
        <v>0</v>
      </c>
      <c r="E1716" s="4" t="s">
        <v>12</v>
      </c>
      <c r="F1716" s="2" t="s">
        <v>0</v>
      </c>
      <c r="G1716" s="2" t="str">
        <f t="shared" ref="G1716:G1741" si="81">"01"</f>
        <v>01</v>
      </c>
      <c r="H1716" s="3">
        <v>413</v>
      </c>
    </row>
    <row r="1717" spans="1:8" ht="29.25" x14ac:dyDescent="0.25">
      <c r="A1717" s="2" t="str">
        <f>"00045331"</f>
        <v>00045331</v>
      </c>
      <c r="B1717" s="2" t="str">
        <f t="shared" si="79"/>
        <v>SG</v>
      </c>
      <c r="C1717" s="4" t="s">
        <v>1107</v>
      </c>
      <c r="D1717" s="4" t="s">
        <v>0</v>
      </c>
      <c r="E1717" s="4" t="s">
        <v>12</v>
      </c>
      <c r="F1717" s="2" t="s">
        <v>0</v>
      </c>
      <c r="G1717" s="2" t="str">
        <f t="shared" si="81"/>
        <v>01</v>
      </c>
      <c r="H1717" s="3">
        <v>413</v>
      </c>
    </row>
    <row r="1718" spans="1:8" ht="29.25" x14ac:dyDescent="0.25">
      <c r="A1718" s="2" t="str">
        <f>"00045332"</f>
        <v>00045332</v>
      </c>
      <c r="B1718" s="2" t="str">
        <f t="shared" si="79"/>
        <v>SG</v>
      </c>
      <c r="C1718" s="4" t="s">
        <v>1108</v>
      </c>
      <c r="D1718" s="4" t="s">
        <v>0</v>
      </c>
      <c r="E1718" s="4" t="s">
        <v>12</v>
      </c>
      <c r="F1718" s="2" t="s">
        <v>0</v>
      </c>
      <c r="G1718" s="2" t="str">
        <f t="shared" si="81"/>
        <v>01</v>
      </c>
      <c r="H1718" s="3">
        <v>413</v>
      </c>
    </row>
    <row r="1719" spans="1:8" ht="29.25" x14ac:dyDescent="0.25">
      <c r="A1719" s="2" t="str">
        <f>"00045333"</f>
        <v>00045333</v>
      </c>
      <c r="B1719" s="2" t="str">
        <f t="shared" si="79"/>
        <v>SG</v>
      </c>
      <c r="C1719" s="4" t="s">
        <v>1109</v>
      </c>
      <c r="D1719" s="4" t="s">
        <v>0</v>
      </c>
      <c r="E1719" s="4" t="s">
        <v>12</v>
      </c>
      <c r="F1719" s="2" t="s">
        <v>0</v>
      </c>
      <c r="G1719" s="2" t="str">
        <f t="shared" si="81"/>
        <v>01</v>
      </c>
      <c r="H1719" s="3">
        <v>413</v>
      </c>
    </row>
    <row r="1720" spans="1:8" ht="29.25" x14ac:dyDescent="0.25">
      <c r="A1720" s="2" t="str">
        <f>"00045334"</f>
        <v>00045334</v>
      </c>
      <c r="B1720" s="2" t="str">
        <f t="shared" si="79"/>
        <v>SG</v>
      </c>
      <c r="C1720" s="4" t="s">
        <v>1110</v>
      </c>
      <c r="D1720" s="4" t="s">
        <v>0</v>
      </c>
      <c r="E1720" s="4" t="s">
        <v>12</v>
      </c>
      <c r="F1720" s="2" t="s">
        <v>0</v>
      </c>
      <c r="G1720" s="2" t="str">
        <f t="shared" si="81"/>
        <v>01</v>
      </c>
      <c r="H1720" s="3">
        <v>413</v>
      </c>
    </row>
    <row r="1721" spans="1:8" ht="29.25" x14ac:dyDescent="0.25">
      <c r="A1721" s="2" t="str">
        <f>"00045335"</f>
        <v>00045335</v>
      </c>
      <c r="B1721" s="2" t="str">
        <f t="shared" si="79"/>
        <v>SG</v>
      </c>
      <c r="C1721" s="4" t="s">
        <v>1111</v>
      </c>
      <c r="D1721" s="4" t="s">
        <v>0</v>
      </c>
      <c r="E1721" s="4" t="s">
        <v>12</v>
      </c>
      <c r="F1721" s="2" t="s">
        <v>0</v>
      </c>
      <c r="G1721" s="2" t="str">
        <f t="shared" si="81"/>
        <v>01</v>
      </c>
      <c r="H1721" s="3">
        <v>413</v>
      </c>
    </row>
    <row r="1722" spans="1:8" ht="29.25" x14ac:dyDescent="0.25">
      <c r="A1722" s="2" t="str">
        <f>"00045337"</f>
        <v>00045337</v>
      </c>
      <c r="B1722" s="2" t="str">
        <f t="shared" si="79"/>
        <v>SG</v>
      </c>
      <c r="C1722" s="4" t="s">
        <v>1112</v>
      </c>
      <c r="D1722" s="4" t="s">
        <v>0</v>
      </c>
      <c r="E1722" s="4" t="s">
        <v>12</v>
      </c>
      <c r="F1722" s="2" t="s">
        <v>0</v>
      </c>
      <c r="G1722" s="2" t="str">
        <f t="shared" si="81"/>
        <v>01</v>
      </c>
      <c r="H1722" s="3">
        <v>413</v>
      </c>
    </row>
    <row r="1723" spans="1:8" ht="29.25" x14ac:dyDescent="0.25">
      <c r="A1723" s="2" t="str">
        <f>"00045338"</f>
        <v>00045338</v>
      </c>
      <c r="B1723" s="2" t="str">
        <f t="shared" si="79"/>
        <v>SG</v>
      </c>
      <c r="C1723" s="4" t="s">
        <v>1113</v>
      </c>
      <c r="D1723" s="4" t="s">
        <v>0</v>
      </c>
      <c r="E1723" s="4" t="s">
        <v>12</v>
      </c>
      <c r="F1723" s="2" t="s">
        <v>0</v>
      </c>
      <c r="G1723" s="2" t="str">
        <f t="shared" si="81"/>
        <v>01</v>
      </c>
      <c r="H1723" s="3">
        <v>413</v>
      </c>
    </row>
    <row r="1724" spans="1:8" x14ac:dyDescent="0.25">
      <c r="A1724" s="2" t="str">
        <f>"00045340"</f>
        <v>00045340</v>
      </c>
      <c r="B1724" s="2" t="str">
        <f t="shared" si="79"/>
        <v>SG</v>
      </c>
      <c r="C1724" s="4" t="s">
        <v>1114</v>
      </c>
      <c r="D1724" s="4" t="s">
        <v>0</v>
      </c>
      <c r="E1724" s="4" t="s">
        <v>12</v>
      </c>
      <c r="F1724" s="2" t="s">
        <v>0</v>
      </c>
      <c r="G1724" s="2" t="str">
        <f t="shared" si="81"/>
        <v>01</v>
      </c>
      <c r="H1724" s="3">
        <v>413</v>
      </c>
    </row>
    <row r="1725" spans="1:8" ht="29.25" x14ac:dyDescent="0.25">
      <c r="A1725" s="2" t="str">
        <f>"00045341"</f>
        <v>00045341</v>
      </c>
      <c r="B1725" s="2" t="str">
        <f t="shared" si="79"/>
        <v>SG</v>
      </c>
      <c r="C1725" s="4" t="s">
        <v>1115</v>
      </c>
      <c r="D1725" s="4" t="s">
        <v>0</v>
      </c>
      <c r="E1725" s="4" t="s">
        <v>12</v>
      </c>
      <c r="F1725" s="2" t="s">
        <v>0</v>
      </c>
      <c r="G1725" s="2" t="str">
        <f t="shared" si="81"/>
        <v>01</v>
      </c>
      <c r="H1725" s="3">
        <v>413</v>
      </c>
    </row>
    <row r="1726" spans="1:8" ht="29.25" x14ac:dyDescent="0.25">
      <c r="A1726" s="2" t="str">
        <f>"00045342"</f>
        <v>00045342</v>
      </c>
      <c r="B1726" s="2" t="str">
        <f t="shared" si="79"/>
        <v>SG</v>
      </c>
      <c r="C1726" s="4" t="s">
        <v>1116</v>
      </c>
      <c r="D1726" s="4" t="s">
        <v>0</v>
      </c>
      <c r="E1726" s="4" t="s">
        <v>12</v>
      </c>
      <c r="F1726" s="2" t="s">
        <v>0</v>
      </c>
      <c r="G1726" s="2" t="str">
        <f t="shared" si="81"/>
        <v>01</v>
      </c>
      <c r="H1726" s="3">
        <v>413</v>
      </c>
    </row>
    <row r="1727" spans="1:8" ht="57.75" x14ac:dyDescent="0.25">
      <c r="A1727" s="2" t="str">
        <f>"00045346"</f>
        <v>00045346</v>
      </c>
      <c r="B1727" s="2" t="str">
        <f t="shared" si="79"/>
        <v>SG</v>
      </c>
      <c r="C1727" s="4" t="s">
        <v>1117</v>
      </c>
      <c r="D1727" s="4" t="s">
        <v>0</v>
      </c>
      <c r="E1727" s="4" t="s">
        <v>12</v>
      </c>
      <c r="F1727" s="2" t="s">
        <v>0</v>
      </c>
      <c r="G1727" s="2" t="str">
        <f t="shared" si="81"/>
        <v>01</v>
      </c>
      <c r="H1727" s="3">
        <v>413</v>
      </c>
    </row>
    <row r="1728" spans="1:8" ht="43.5" x14ac:dyDescent="0.25">
      <c r="A1728" s="2" t="str">
        <f>"00045347"</f>
        <v>00045347</v>
      </c>
      <c r="B1728" s="2" t="str">
        <f t="shared" si="79"/>
        <v>SG</v>
      </c>
      <c r="C1728" s="4" t="s">
        <v>1118</v>
      </c>
      <c r="D1728" s="4" t="s">
        <v>0</v>
      </c>
      <c r="E1728" s="4" t="s">
        <v>12</v>
      </c>
      <c r="F1728" s="2" t="s">
        <v>0</v>
      </c>
      <c r="G1728" s="2" t="str">
        <f t="shared" si="81"/>
        <v>01</v>
      </c>
      <c r="H1728" s="3">
        <v>413</v>
      </c>
    </row>
    <row r="1729" spans="1:8" ht="29.25" x14ac:dyDescent="0.25">
      <c r="A1729" s="2" t="str">
        <f>"00045378"</f>
        <v>00045378</v>
      </c>
      <c r="B1729" s="2" t="str">
        <f t="shared" si="79"/>
        <v>SG</v>
      </c>
      <c r="C1729" s="4" t="s">
        <v>1119</v>
      </c>
      <c r="D1729" s="4" t="s">
        <v>0</v>
      </c>
      <c r="E1729" s="4" t="s">
        <v>12</v>
      </c>
      <c r="F1729" s="2" t="s">
        <v>0</v>
      </c>
      <c r="G1729" s="2" t="str">
        <f t="shared" si="81"/>
        <v>01</v>
      </c>
      <c r="H1729" s="3">
        <v>413</v>
      </c>
    </row>
    <row r="1730" spans="1:8" ht="29.25" x14ac:dyDescent="0.25">
      <c r="A1730" s="2" t="str">
        <f>"00045379"</f>
        <v>00045379</v>
      </c>
      <c r="B1730" s="2" t="str">
        <f t="shared" si="79"/>
        <v>SG</v>
      </c>
      <c r="C1730" s="4" t="s">
        <v>1120</v>
      </c>
      <c r="D1730" s="4" t="s">
        <v>0</v>
      </c>
      <c r="E1730" s="4" t="s">
        <v>12</v>
      </c>
      <c r="F1730" s="2" t="s">
        <v>0</v>
      </c>
      <c r="G1730" s="2" t="str">
        <f t="shared" si="81"/>
        <v>01</v>
      </c>
      <c r="H1730" s="3">
        <v>413</v>
      </c>
    </row>
    <row r="1731" spans="1:8" ht="29.25" x14ac:dyDescent="0.25">
      <c r="A1731" s="2" t="str">
        <f>"00045380"</f>
        <v>00045380</v>
      </c>
      <c r="B1731" s="2" t="str">
        <f t="shared" si="79"/>
        <v>SG</v>
      </c>
      <c r="C1731" s="4" t="s">
        <v>1121</v>
      </c>
      <c r="D1731" s="4" t="s">
        <v>0</v>
      </c>
      <c r="E1731" s="4" t="s">
        <v>12</v>
      </c>
      <c r="F1731" s="2" t="s">
        <v>0</v>
      </c>
      <c r="G1731" s="2" t="str">
        <f t="shared" si="81"/>
        <v>01</v>
      </c>
      <c r="H1731" s="3">
        <v>413</v>
      </c>
    </row>
    <row r="1732" spans="1:8" ht="29.25" x14ac:dyDescent="0.25">
      <c r="A1732" s="2" t="str">
        <f>"00045381"</f>
        <v>00045381</v>
      </c>
      <c r="B1732" s="2" t="str">
        <f t="shared" si="79"/>
        <v>SG</v>
      </c>
      <c r="C1732" s="4" t="s">
        <v>1122</v>
      </c>
      <c r="D1732" s="4" t="s">
        <v>0</v>
      </c>
      <c r="E1732" s="4" t="s">
        <v>12</v>
      </c>
      <c r="F1732" s="2" t="s">
        <v>0</v>
      </c>
      <c r="G1732" s="2" t="str">
        <f t="shared" si="81"/>
        <v>01</v>
      </c>
      <c r="H1732" s="3">
        <v>413</v>
      </c>
    </row>
    <row r="1733" spans="1:8" ht="29.25" x14ac:dyDescent="0.25">
      <c r="A1733" s="2" t="str">
        <f>"00045382"</f>
        <v>00045382</v>
      </c>
      <c r="B1733" s="2" t="str">
        <f t="shared" si="79"/>
        <v>SG</v>
      </c>
      <c r="C1733" s="4" t="s">
        <v>1123</v>
      </c>
      <c r="D1733" s="4" t="s">
        <v>0</v>
      </c>
      <c r="E1733" s="4" t="s">
        <v>12</v>
      </c>
      <c r="F1733" s="2" t="s">
        <v>0</v>
      </c>
      <c r="G1733" s="2" t="str">
        <f t="shared" si="81"/>
        <v>01</v>
      </c>
      <c r="H1733" s="3">
        <v>413</v>
      </c>
    </row>
    <row r="1734" spans="1:8" ht="29.25" x14ac:dyDescent="0.25">
      <c r="A1734" s="2" t="str">
        <f>"00045384"</f>
        <v>00045384</v>
      </c>
      <c r="B1734" s="2" t="str">
        <f t="shared" si="79"/>
        <v>SG</v>
      </c>
      <c r="C1734" s="4" t="s">
        <v>1124</v>
      </c>
      <c r="D1734" s="4" t="s">
        <v>0</v>
      </c>
      <c r="E1734" s="4" t="s">
        <v>12</v>
      </c>
      <c r="F1734" s="2" t="s">
        <v>0</v>
      </c>
      <c r="G1734" s="2" t="str">
        <f t="shared" si="81"/>
        <v>01</v>
      </c>
      <c r="H1734" s="3">
        <v>413</v>
      </c>
    </row>
    <row r="1735" spans="1:8" ht="29.25" x14ac:dyDescent="0.25">
      <c r="A1735" s="2" t="str">
        <f>"00045385"</f>
        <v>00045385</v>
      </c>
      <c r="B1735" s="2" t="str">
        <f t="shared" si="79"/>
        <v>SG</v>
      </c>
      <c r="C1735" s="4" t="s">
        <v>1125</v>
      </c>
      <c r="D1735" s="4" t="s">
        <v>0</v>
      </c>
      <c r="E1735" s="4" t="s">
        <v>12</v>
      </c>
      <c r="F1735" s="2" t="s">
        <v>0</v>
      </c>
      <c r="G1735" s="2" t="str">
        <f t="shared" si="81"/>
        <v>01</v>
      </c>
      <c r="H1735" s="3">
        <v>413</v>
      </c>
    </row>
    <row r="1736" spans="1:8" ht="29.25" x14ac:dyDescent="0.25">
      <c r="A1736" s="2" t="str">
        <f>"00045386"</f>
        <v>00045386</v>
      </c>
      <c r="B1736" s="2" t="str">
        <f t="shared" si="79"/>
        <v>SG</v>
      </c>
      <c r="C1736" s="4" t="s">
        <v>1126</v>
      </c>
      <c r="D1736" s="4" t="s">
        <v>0</v>
      </c>
      <c r="E1736" s="4" t="s">
        <v>12</v>
      </c>
      <c r="F1736" s="2" t="s">
        <v>0</v>
      </c>
      <c r="G1736" s="2" t="str">
        <f t="shared" si="81"/>
        <v>01</v>
      </c>
      <c r="H1736" s="3">
        <v>413</v>
      </c>
    </row>
    <row r="1737" spans="1:8" ht="43.5" x14ac:dyDescent="0.25">
      <c r="A1737" s="2" t="str">
        <f>"00045388"</f>
        <v>00045388</v>
      </c>
      <c r="B1737" s="2" t="str">
        <f t="shared" si="79"/>
        <v>SG</v>
      </c>
      <c r="C1737" s="4" t="s">
        <v>1127</v>
      </c>
      <c r="D1737" s="4" t="s">
        <v>0</v>
      </c>
      <c r="E1737" s="4" t="s">
        <v>12</v>
      </c>
      <c r="F1737" s="2" t="s">
        <v>0</v>
      </c>
      <c r="G1737" s="2" t="str">
        <f t="shared" si="81"/>
        <v>01</v>
      </c>
      <c r="H1737" s="3">
        <v>413</v>
      </c>
    </row>
    <row r="1738" spans="1:8" ht="43.5" x14ac:dyDescent="0.25">
      <c r="A1738" s="2" t="str">
        <f>"00045389"</f>
        <v>00045389</v>
      </c>
      <c r="B1738" s="2" t="str">
        <f t="shared" si="79"/>
        <v>SG</v>
      </c>
      <c r="C1738" s="4" t="s">
        <v>1128</v>
      </c>
      <c r="D1738" s="4" t="s">
        <v>0</v>
      </c>
      <c r="E1738" s="4" t="s">
        <v>12</v>
      </c>
      <c r="F1738" s="2" t="s">
        <v>0</v>
      </c>
      <c r="G1738" s="2" t="str">
        <f t="shared" si="81"/>
        <v>01</v>
      </c>
      <c r="H1738" s="3">
        <v>413</v>
      </c>
    </row>
    <row r="1739" spans="1:8" ht="29.25" x14ac:dyDescent="0.25">
      <c r="A1739" s="2" t="str">
        <f>"00045391"</f>
        <v>00045391</v>
      </c>
      <c r="B1739" s="2" t="str">
        <f t="shared" si="79"/>
        <v>SG</v>
      </c>
      <c r="C1739" s="4" t="s">
        <v>1129</v>
      </c>
      <c r="D1739" s="4" t="s">
        <v>0</v>
      </c>
      <c r="E1739" s="4" t="s">
        <v>12</v>
      </c>
      <c r="F1739" s="2" t="s">
        <v>0</v>
      </c>
      <c r="G1739" s="2" t="str">
        <f t="shared" si="81"/>
        <v>01</v>
      </c>
      <c r="H1739" s="3">
        <v>413</v>
      </c>
    </row>
    <row r="1740" spans="1:8" ht="29.25" x14ac:dyDescent="0.25">
      <c r="A1740" s="2" t="str">
        <f>"00045392"</f>
        <v>00045392</v>
      </c>
      <c r="B1740" s="2" t="str">
        <f t="shared" si="79"/>
        <v>SG</v>
      </c>
      <c r="C1740" s="4" t="s">
        <v>1130</v>
      </c>
      <c r="D1740" s="4" t="s">
        <v>0</v>
      </c>
      <c r="E1740" s="4" t="s">
        <v>12</v>
      </c>
      <c r="F1740" s="2" t="s">
        <v>0</v>
      </c>
      <c r="G1740" s="2" t="str">
        <f t="shared" si="81"/>
        <v>01</v>
      </c>
      <c r="H1740" s="3">
        <v>413</v>
      </c>
    </row>
    <row r="1741" spans="1:8" x14ac:dyDescent="0.25">
      <c r="A1741" s="2" t="str">
        <f>"00045500"</f>
        <v>00045500</v>
      </c>
      <c r="B1741" s="2" t="str">
        <f t="shared" ref="B1741:B1804" si="82">"SG"</f>
        <v>SG</v>
      </c>
      <c r="C1741" s="4" t="s">
        <v>1131</v>
      </c>
      <c r="D1741" s="4" t="s">
        <v>0</v>
      </c>
      <c r="E1741" s="4" t="s">
        <v>12</v>
      </c>
      <c r="F1741" s="2" t="s">
        <v>0</v>
      </c>
      <c r="G1741" s="2" t="str">
        <f t="shared" si="81"/>
        <v>01</v>
      </c>
      <c r="H1741" s="3">
        <v>413</v>
      </c>
    </row>
    <row r="1742" spans="1:8" x14ac:dyDescent="0.25">
      <c r="A1742" s="2" t="str">
        <f>"00045505"</f>
        <v>00045505</v>
      </c>
      <c r="B1742" s="2" t="str">
        <f t="shared" si="82"/>
        <v>SG</v>
      </c>
      <c r="C1742" s="4" t="s">
        <v>1131</v>
      </c>
      <c r="D1742" s="4" t="s">
        <v>0</v>
      </c>
      <c r="E1742" s="4" t="s">
        <v>12</v>
      </c>
      <c r="F1742" s="2" t="s">
        <v>0</v>
      </c>
      <c r="G1742" s="2" t="str">
        <f>"03"</f>
        <v>03</v>
      </c>
      <c r="H1742" s="3">
        <v>637</v>
      </c>
    </row>
    <row r="1743" spans="1:8" x14ac:dyDescent="0.25">
      <c r="A1743" s="2" t="str">
        <f>"00045560"</f>
        <v>00045560</v>
      </c>
      <c r="B1743" s="2" t="str">
        <f t="shared" si="82"/>
        <v>SG</v>
      </c>
      <c r="C1743" s="4" t="s">
        <v>1132</v>
      </c>
      <c r="D1743" s="4" t="s">
        <v>0</v>
      </c>
      <c r="E1743" s="4" t="s">
        <v>12</v>
      </c>
      <c r="F1743" s="2" t="s">
        <v>0</v>
      </c>
      <c r="G1743" s="2" t="str">
        <f>"04"</f>
        <v>04</v>
      </c>
      <c r="H1743" s="3">
        <v>785</v>
      </c>
    </row>
    <row r="1744" spans="1:8" ht="29.25" x14ac:dyDescent="0.25">
      <c r="A1744" s="2" t="str">
        <f>"00045900"</f>
        <v>00045900</v>
      </c>
      <c r="B1744" s="2" t="str">
        <f t="shared" si="82"/>
        <v>SG</v>
      </c>
      <c r="C1744" s="4" t="s">
        <v>1133</v>
      </c>
      <c r="D1744" s="4" t="s">
        <v>0</v>
      </c>
      <c r="E1744" s="4" t="s">
        <v>12</v>
      </c>
      <c r="F1744" s="2" t="s">
        <v>0</v>
      </c>
      <c r="G1744" s="2" t="str">
        <f>"01"</f>
        <v>01</v>
      </c>
      <c r="H1744" s="3">
        <v>413</v>
      </c>
    </row>
    <row r="1745" spans="1:8" ht="29.25" x14ac:dyDescent="0.25">
      <c r="A1745" s="2" t="str">
        <f>"00045905"</f>
        <v>00045905</v>
      </c>
      <c r="B1745" s="2" t="str">
        <f t="shared" si="82"/>
        <v>SG</v>
      </c>
      <c r="C1745" s="4" t="s">
        <v>1134</v>
      </c>
      <c r="D1745" s="4" t="s">
        <v>0</v>
      </c>
      <c r="E1745" s="4" t="s">
        <v>12</v>
      </c>
      <c r="F1745" s="2" t="s">
        <v>0</v>
      </c>
      <c r="G1745" s="2" t="str">
        <f>"01"</f>
        <v>01</v>
      </c>
      <c r="H1745" s="3">
        <v>413</v>
      </c>
    </row>
    <row r="1746" spans="1:8" ht="29.25" x14ac:dyDescent="0.25">
      <c r="A1746" s="2" t="str">
        <f>"00045910"</f>
        <v>00045910</v>
      </c>
      <c r="B1746" s="2" t="str">
        <f t="shared" si="82"/>
        <v>SG</v>
      </c>
      <c r="C1746" s="4" t="s">
        <v>1135</v>
      </c>
      <c r="D1746" s="4" t="s">
        <v>0</v>
      </c>
      <c r="E1746" s="4" t="s">
        <v>12</v>
      </c>
      <c r="F1746" s="2" t="s">
        <v>0</v>
      </c>
      <c r="G1746" s="2" t="str">
        <f>"01"</f>
        <v>01</v>
      </c>
      <c r="H1746" s="3">
        <v>413</v>
      </c>
    </row>
    <row r="1747" spans="1:8" ht="29.25" x14ac:dyDescent="0.25">
      <c r="A1747" s="2" t="str">
        <f>"00045915"</f>
        <v>00045915</v>
      </c>
      <c r="B1747" s="2" t="str">
        <f t="shared" si="82"/>
        <v>SG</v>
      </c>
      <c r="C1747" s="4" t="s">
        <v>1136</v>
      </c>
      <c r="D1747" s="4" t="s">
        <v>0</v>
      </c>
      <c r="E1747" s="4" t="s">
        <v>12</v>
      </c>
      <c r="F1747" s="2" t="s">
        <v>0</v>
      </c>
      <c r="G1747" s="2" t="str">
        <f>"01"</f>
        <v>01</v>
      </c>
      <c r="H1747" s="3">
        <v>413</v>
      </c>
    </row>
    <row r="1748" spans="1:8" ht="29.25" x14ac:dyDescent="0.25">
      <c r="A1748" s="2" t="str">
        <f>"00045990"</f>
        <v>00045990</v>
      </c>
      <c r="B1748" s="2" t="str">
        <f t="shared" si="82"/>
        <v>SG</v>
      </c>
      <c r="C1748" s="4" t="s">
        <v>1137</v>
      </c>
      <c r="D1748" s="4" t="s">
        <v>0</v>
      </c>
      <c r="E1748" s="4" t="s">
        <v>12</v>
      </c>
      <c r="F1748" s="2" t="s">
        <v>0</v>
      </c>
      <c r="G1748" s="2" t="str">
        <f>"02"</f>
        <v>02</v>
      </c>
      <c r="H1748" s="3">
        <v>552</v>
      </c>
    </row>
    <row r="1749" spans="1:8" x14ac:dyDescent="0.25">
      <c r="A1749" s="2" t="str">
        <f>"00046020"</f>
        <v>00046020</v>
      </c>
      <c r="B1749" s="2" t="str">
        <f t="shared" si="82"/>
        <v>SG</v>
      </c>
      <c r="C1749" s="4" t="s">
        <v>1138</v>
      </c>
      <c r="D1749" s="4" t="s">
        <v>0</v>
      </c>
      <c r="E1749" s="4" t="s">
        <v>12</v>
      </c>
      <c r="F1749" s="2" t="s">
        <v>0</v>
      </c>
      <c r="G1749" s="2" t="str">
        <f>"03"</f>
        <v>03</v>
      </c>
      <c r="H1749" s="3">
        <v>637</v>
      </c>
    </row>
    <row r="1750" spans="1:8" ht="29.25" x14ac:dyDescent="0.25">
      <c r="A1750" s="2" t="str">
        <f>"00046030"</f>
        <v>00046030</v>
      </c>
      <c r="B1750" s="2" t="str">
        <f t="shared" si="82"/>
        <v>SG</v>
      </c>
      <c r="C1750" s="4" t="s">
        <v>1139</v>
      </c>
      <c r="D1750" s="4" t="s">
        <v>0</v>
      </c>
      <c r="E1750" s="4" t="s">
        <v>12</v>
      </c>
      <c r="F1750" s="2" t="s">
        <v>0</v>
      </c>
      <c r="G1750" s="2" t="str">
        <f>"01"</f>
        <v>01</v>
      </c>
      <c r="H1750" s="3">
        <v>413</v>
      </c>
    </row>
    <row r="1751" spans="1:8" ht="29.25" x14ac:dyDescent="0.25">
      <c r="A1751" s="2" t="str">
        <f>"00046040"</f>
        <v>00046040</v>
      </c>
      <c r="B1751" s="2" t="str">
        <f t="shared" si="82"/>
        <v>SG</v>
      </c>
      <c r="C1751" s="4" t="s">
        <v>1140</v>
      </c>
      <c r="D1751" s="4" t="s">
        <v>0</v>
      </c>
      <c r="E1751" s="4" t="s">
        <v>12</v>
      </c>
      <c r="F1751" s="2" t="s">
        <v>0</v>
      </c>
      <c r="G1751" s="2" t="str">
        <f>"01"</f>
        <v>01</v>
      </c>
      <c r="H1751" s="3">
        <v>413</v>
      </c>
    </row>
    <row r="1752" spans="1:8" ht="29.25" x14ac:dyDescent="0.25">
      <c r="A1752" s="2" t="str">
        <f>"00046045"</f>
        <v>00046045</v>
      </c>
      <c r="B1752" s="2" t="str">
        <f t="shared" si="82"/>
        <v>SG</v>
      </c>
      <c r="C1752" s="4" t="s">
        <v>1140</v>
      </c>
      <c r="D1752" s="4" t="s">
        <v>0</v>
      </c>
      <c r="E1752" s="4" t="s">
        <v>12</v>
      </c>
      <c r="F1752" s="2" t="s">
        <v>0</v>
      </c>
      <c r="G1752" s="2" t="str">
        <f>"03"</f>
        <v>03</v>
      </c>
      <c r="H1752" s="3">
        <v>637</v>
      </c>
    </row>
    <row r="1753" spans="1:8" x14ac:dyDescent="0.25">
      <c r="A1753" s="2" t="str">
        <f>"00046050"</f>
        <v>00046050</v>
      </c>
      <c r="B1753" s="2" t="str">
        <f t="shared" si="82"/>
        <v>SG</v>
      </c>
      <c r="C1753" s="4" t="s">
        <v>1141</v>
      </c>
      <c r="D1753" s="4" t="s">
        <v>0</v>
      </c>
      <c r="E1753" s="4" t="s">
        <v>12</v>
      </c>
      <c r="F1753" s="2" t="s">
        <v>0</v>
      </c>
      <c r="G1753" s="2" t="str">
        <f>"01"</f>
        <v>01</v>
      </c>
      <c r="H1753" s="3">
        <v>413</v>
      </c>
    </row>
    <row r="1754" spans="1:8" ht="29.25" x14ac:dyDescent="0.25">
      <c r="A1754" s="2" t="str">
        <f>"00046060"</f>
        <v>00046060</v>
      </c>
      <c r="B1754" s="2" t="str">
        <f t="shared" si="82"/>
        <v>SG</v>
      </c>
      <c r="C1754" s="4" t="s">
        <v>1140</v>
      </c>
      <c r="D1754" s="4" t="s">
        <v>0</v>
      </c>
      <c r="E1754" s="4" t="s">
        <v>12</v>
      </c>
      <c r="F1754" s="2" t="s">
        <v>0</v>
      </c>
      <c r="G1754" s="2" t="str">
        <f>"01"</f>
        <v>01</v>
      </c>
      <c r="H1754" s="3">
        <v>413</v>
      </c>
    </row>
    <row r="1755" spans="1:8" ht="29.25" x14ac:dyDescent="0.25">
      <c r="A1755" s="2" t="str">
        <f>"00046080"</f>
        <v>00046080</v>
      </c>
      <c r="B1755" s="2" t="str">
        <f t="shared" si="82"/>
        <v>SG</v>
      </c>
      <c r="C1755" s="4" t="s">
        <v>1142</v>
      </c>
      <c r="D1755" s="4" t="s">
        <v>0</v>
      </c>
      <c r="E1755" s="4" t="s">
        <v>12</v>
      </c>
      <c r="F1755" s="2" t="s">
        <v>0</v>
      </c>
      <c r="G1755" s="2" t="str">
        <f>"01"</f>
        <v>01</v>
      </c>
      <c r="H1755" s="3">
        <v>413</v>
      </c>
    </row>
    <row r="1756" spans="1:8" x14ac:dyDescent="0.25">
      <c r="A1756" s="2" t="str">
        <f>"00046200"</f>
        <v>00046200</v>
      </c>
      <c r="B1756" s="2" t="str">
        <f t="shared" si="82"/>
        <v>SG</v>
      </c>
      <c r="C1756" s="4" t="s">
        <v>1143</v>
      </c>
      <c r="D1756" s="4" t="s">
        <v>0</v>
      </c>
      <c r="E1756" s="4" t="s">
        <v>12</v>
      </c>
      <c r="F1756" s="2" t="s">
        <v>0</v>
      </c>
      <c r="G1756" s="2" t="str">
        <f>"03"</f>
        <v>03</v>
      </c>
      <c r="H1756" s="3">
        <v>637</v>
      </c>
    </row>
    <row r="1757" spans="1:8" x14ac:dyDescent="0.25">
      <c r="A1757" s="2" t="str">
        <f>"00046220"</f>
        <v>00046220</v>
      </c>
      <c r="B1757" s="2" t="str">
        <f t="shared" si="82"/>
        <v>SG</v>
      </c>
      <c r="C1757" s="4" t="s">
        <v>1144</v>
      </c>
      <c r="D1757" s="4" t="s">
        <v>0</v>
      </c>
      <c r="E1757" s="4" t="s">
        <v>12</v>
      </c>
      <c r="F1757" s="2" t="s">
        <v>0</v>
      </c>
      <c r="G1757" s="2" t="str">
        <f>"01"</f>
        <v>01</v>
      </c>
      <c r="H1757" s="3">
        <v>413</v>
      </c>
    </row>
    <row r="1758" spans="1:8" x14ac:dyDescent="0.25">
      <c r="A1758" s="2" t="str">
        <f>"00046230"</f>
        <v>00046230</v>
      </c>
      <c r="B1758" s="2" t="str">
        <f t="shared" si="82"/>
        <v>SG</v>
      </c>
      <c r="C1758" s="4" t="s">
        <v>1145</v>
      </c>
      <c r="D1758" s="4" t="s">
        <v>0</v>
      </c>
      <c r="E1758" s="4" t="s">
        <v>12</v>
      </c>
      <c r="F1758" s="2" t="s">
        <v>0</v>
      </c>
      <c r="G1758" s="2" t="str">
        <f>"01"</f>
        <v>01</v>
      </c>
      <c r="H1758" s="3">
        <v>413</v>
      </c>
    </row>
    <row r="1759" spans="1:8" x14ac:dyDescent="0.25">
      <c r="A1759" s="2" t="str">
        <f>"00046250"</f>
        <v>00046250</v>
      </c>
      <c r="B1759" s="2" t="str">
        <f t="shared" si="82"/>
        <v>SG</v>
      </c>
      <c r="C1759" s="4" t="s">
        <v>1146</v>
      </c>
      <c r="D1759" s="4" t="s">
        <v>0</v>
      </c>
      <c r="E1759" s="4" t="s">
        <v>12</v>
      </c>
      <c r="F1759" s="2" t="s">
        <v>0</v>
      </c>
      <c r="G1759" s="2" t="str">
        <f t="shared" ref="G1759:G1769" si="83">"02"</f>
        <v>02</v>
      </c>
      <c r="H1759" s="3">
        <v>552</v>
      </c>
    </row>
    <row r="1760" spans="1:8" x14ac:dyDescent="0.25">
      <c r="A1760" s="2" t="str">
        <f>"00046255"</f>
        <v>00046255</v>
      </c>
      <c r="B1760" s="2" t="str">
        <f t="shared" si="82"/>
        <v>SG</v>
      </c>
      <c r="C1760" s="4" t="s">
        <v>1146</v>
      </c>
      <c r="D1760" s="4" t="s">
        <v>0</v>
      </c>
      <c r="E1760" s="4" t="s">
        <v>12</v>
      </c>
      <c r="F1760" s="2" t="s">
        <v>0</v>
      </c>
      <c r="G1760" s="2" t="str">
        <f t="shared" si="83"/>
        <v>02</v>
      </c>
      <c r="H1760" s="3">
        <v>552</v>
      </c>
    </row>
    <row r="1761" spans="1:8" ht="29.25" x14ac:dyDescent="0.25">
      <c r="A1761" s="2" t="str">
        <f>"00046257"</f>
        <v>00046257</v>
      </c>
      <c r="B1761" s="2" t="str">
        <f t="shared" si="82"/>
        <v>SG</v>
      </c>
      <c r="C1761" s="4" t="s">
        <v>1147</v>
      </c>
      <c r="D1761" s="4" t="s">
        <v>0</v>
      </c>
      <c r="E1761" s="4" t="s">
        <v>12</v>
      </c>
      <c r="F1761" s="2" t="s">
        <v>0</v>
      </c>
      <c r="G1761" s="2" t="str">
        <f t="shared" si="83"/>
        <v>02</v>
      </c>
      <c r="H1761" s="3">
        <v>552</v>
      </c>
    </row>
    <row r="1762" spans="1:8" ht="29.25" x14ac:dyDescent="0.25">
      <c r="A1762" s="2" t="str">
        <f>"00046258"</f>
        <v>00046258</v>
      </c>
      <c r="B1762" s="2" t="str">
        <f t="shared" si="82"/>
        <v>SG</v>
      </c>
      <c r="C1762" s="4" t="s">
        <v>1148</v>
      </c>
      <c r="D1762" s="4" t="s">
        <v>0</v>
      </c>
      <c r="E1762" s="4" t="s">
        <v>12</v>
      </c>
      <c r="F1762" s="2" t="s">
        <v>0</v>
      </c>
      <c r="G1762" s="2" t="str">
        <f t="shared" si="83"/>
        <v>02</v>
      </c>
      <c r="H1762" s="3">
        <v>552</v>
      </c>
    </row>
    <row r="1763" spans="1:8" x14ac:dyDescent="0.25">
      <c r="A1763" s="2" t="str">
        <f>"00046260"</f>
        <v>00046260</v>
      </c>
      <c r="B1763" s="2" t="str">
        <f t="shared" si="82"/>
        <v>SG</v>
      </c>
      <c r="C1763" s="4" t="s">
        <v>1146</v>
      </c>
      <c r="D1763" s="4" t="s">
        <v>0</v>
      </c>
      <c r="E1763" s="4" t="s">
        <v>12</v>
      </c>
      <c r="F1763" s="2" t="s">
        <v>0</v>
      </c>
      <c r="G1763" s="2" t="str">
        <f t="shared" si="83"/>
        <v>02</v>
      </c>
      <c r="H1763" s="3">
        <v>552</v>
      </c>
    </row>
    <row r="1764" spans="1:8" ht="29.25" x14ac:dyDescent="0.25">
      <c r="A1764" s="2" t="str">
        <f>"00046261"</f>
        <v>00046261</v>
      </c>
      <c r="B1764" s="2" t="str">
        <f t="shared" si="82"/>
        <v>SG</v>
      </c>
      <c r="C1764" s="4" t="s">
        <v>1147</v>
      </c>
      <c r="D1764" s="4" t="s">
        <v>0</v>
      </c>
      <c r="E1764" s="4" t="s">
        <v>12</v>
      </c>
      <c r="F1764" s="2" t="s">
        <v>0</v>
      </c>
      <c r="G1764" s="2" t="str">
        <f t="shared" si="83"/>
        <v>02</v>
      </c>
      <c r="H1764" s="3">
        <v>552</v>
      </c>
    </row>
    <row r="1765" spans="1:8" ht="29.25" x14ac:dyDescent="0.25">
      <c r="A1765" s="2" t="str">
        <f>"00046262"</f>
        <v>00046262</v>
      </c>
      <c r="B1765" s="2" t="str">
        <f t="shared" si="82"/>
        <v>SG</v>
      </c>
      <c r="C1765" s="4" t="s">
        <v>1148</v>
      </c>
      <c r="D1765" s="4" t="s">
        <v>0</v>
      </c>
      <c r="E1765" s="4" t="s">
        <v>12</v>
      </c>
      <c r="F1765" s="2" t="s">
        <v>0</v>
      </c>
      <c r="G1765" s="2" t="str">
        <f t="shared" si="83"/>
        <v>02</v>
      </c>
      <c r="H1765" s="3">
        <v>552</v>
      </c>
    </row>
    <row r="1766" spans="1:8" x14ac:dyDescent="0.25">
      <c r="A1766" s="2" t="str">
        <f>"00046270"</f>
        <v>00046270</v>
      </c>
      <c r="B1766" s="2" t="str">
        <f t="shared" si="82"/>
        <v>SG</v>
      </c>
      <c r="C1766" s="4" t="s">
        <v>1149</v>
      </c>
      <c r="D1766" s="4" t="s">
        <v>0</v>
      </c>
      <c r="E1766" s="4" t="s">
        <v>12</v>
      </c>
      <c r="F1766" s="2" t="s">
        <v>0</v>
      </c>
      <c r="G1766" s="2" t="str">
        <f t="shared" si="83"/>
        <v>02</v>
      </c>
      <c r="H1766" s="3">
        <v>552</v>
      </c>
    </row>
    <row r="1767" spans="1:8" x14ac:dyDescent="0.25">
      <c r="A1767" s="2" t="str">
        <f>"00046275"</f>
        <v>00046275</v>
      </c>
      <c r="B1767" s="2" t="str">
        <f t="shared" si="82"/>
        <v>SG</v>
      </c>
      <c r="C1767" s="4" t="s">
        <v>1149</v>
      </c>
      <c r="D1767" s="4" t="s">
        <v>0</v>
      </c>
      <c r="E1767" s="4" t="s">
        <v>12</v>
      </c>
      <c r="F1767" s="2" t="s">
        <v>0</v>
      </c>
      <c r="G1767" s="2" t="str">
        <f t="shared" si="83"/>
        <v>02</v>
      </c>
      <c r="H1767" s="3">
        <v>552</v>
      </c>
    </row>
    <row r="1768" spans="1:8" x14ac:dyDescent="0.25">
      <c r="A1768" s="2" t="str">
        <f>"00046280"</f>
        <v>00046280</v>
      </c>
      <c r="B1768" s="2" t="str">
        <f t="shared" si="82"/>
        <v>SG</v>
      </c>
      <c r="C1768" s="4" t="s">
        <v>1149</v>
      </c>
      <c r="D1768" s="4" t="s">
        <v>0</v>
      </c>
      <c r="E1768" s="4" t="s">
        <v>12</v>
      </c>
      <c r="F1768" s="2" t="s">
        <v>0</v>
      </c>
      <c r="G1768" s="2" t="str">
        <f t="shared" si="83"/>
        <v>02</v>
      </c>
      <c r="H1768" s="3">
        <v>552</v>
      </c>
    </row>
    <row r="1769" spans="1:8" x14ac:dyDescent="0.25">
      <c r="A1769" s="2" t="str">
        <f>"00046285"</f>
        <v>00046285</v>
      </c>
      <c r="B1769" s="2" t="str">
        <f t="shared" si="82"/>
        <v>SG</v>
      </c>
      <c r="C1769" s="4" t="s">
        <v>1149</v>
      </c>
      <c r="D1769" s="4" t="s">
        <v>0</v>
      </c>
      <c r="E1769" s="4" t="s">
        <v>12</v>
      </c>
      <c r="F1769" s="2" t="s">
        <v>0</v>
      </c>
      <c r="G1769" s="2" t="str">
        <f t="shared" si="83"/>
        <v>02</v>
      </c>
      <c r="H1769" s="3">
        <v>552</v>
      </c>
    </row>
    <row r="1770" spans="1:8" x14ac:dyDescent="0.25">
      <c r="A1770" s="2" t="str">
        <f>"00046288"</f>
        <v>00046288</v>
      </c>
      <c r="B1770" s="2" t="str">
        <f t="shared" si="82"/>
        <v>SG</v>
      </c>
      <c r="C1770" s="4" t="s">
        <v>1150</v>
      </c>
      <c r="D1770" s="4" t="s">
        <v>0</v>
      </c>
      <c r="E1770" s="4" t="s">
        <v>12</v>
      </c>
      <c r="F1770" s="2" t="s">
        <v>0</v>
      </c>
      <c r="G1770" s="2" t="str">
        <f>"04"</f>
        <v>04</v>
      </c>
      <c r="H1770" s="3">
        <v>785</v>
      </c>
    </row>
    <row r="1771" spans="1:8" ht="29.25" x14ac:dyDescent="0.25">
      <c r="A1771" s="2" t="str">
        <f>"00046608"</f>
        <v>00046608</v>
      </c>
      <c r="B1771" s="2" t="str">
        <f t="shared" si="82"/>
        <v>SG</v>
      </c>
      <c r="C1771" s="4" t="s">
        <v>1151</v>
      </c>
      <c r="D1771" s="4" t="s">
        <v>0</v>
      </c>
      <c r="E1771" s="4" t="s">
        <v>12</v>
      </c>
      <c r="F1771" s="2" t="s">
        <v>0</v>
      </c>
      <c r="G1771" s="2" t="str">
        <f>"01"</f>
        <v>01</v>
      </c>
      <c r="H1771" s="3">
        <v>413</v>
      </c>
    </row>
    <row r="1772" spans="1:8" ht="29.25" x14ac:dyDescent="0.25">
      <c r="A1772" s="2" t="str">
        <f>"00046610"</f>
        <v>00046610</v>
      </c>
      <c r="B1772" s="2" t="str">
        <f t="shared" si="82"/>
        <v>SG</v>
      </c>
      <c r="C1772" s="4" t="s">
        <v>1152</v>
      </c>
      <c r="D1772" s="4" t="s">
        <v>0</v>
      </c>
      <c r="E1772" s="4" t="s">
        <v>12</v>
      </c>
      <c r="F1772" s="2" t="s">
        <v>0</v>
      </c>
      <c r="G1772" s="2" t="str">
        <f>"01"</f>
        <v>01</v>
      </c>
      <c r="H1772" s="3">
        <v>413</v>
      </c>
    </row>
    <row r="1773" spans="1:8" x14ac:dyDescent="0.25">
      <c r="A1773" s="2" t="str">
        <f>"00046611"</f>
        <v>00046611</v>
      </c>
      <c r="B1773" s="2" t="str">
        <f t="shared" si="82"/>
        <v>SG</v>
      </c>
      <c r="C1773" s="4" t="s">
        <v>1153</v>
      </c>
      <c r="D1773" s="4" t="s">
        <v>0</v>
      </c>
      <c r="E1773" s="4" t="s">
        <v>12</v>
      </c>
      <c r="F1773" s="2" t="s">
        <v>0</v>
      </c>
      <c r="G1773" s="2" t="str">
        <f>"01"</f>
        <v>01</v>
      </c>
      <c r="H1773" s="3">
        <v>413</v>
      </c>
    </row>
    <row r="1774" spans="1:8" ht="29.25" x14ac:dyDescent="0.25">
      <c r="A1774" s="2" t="str">
        <f>"00046612"</f>
        <v>00046612</v>
      </c>
      <c r="B1774" s="2" t="str">
        <f t="shared" si="82"/>
        <v>SG</v>
      </c>
      <c r="C1774" s="4" t="s">
        <v>1154</v>
      </c>
      <c r="D1774" s="4" t="s">
        <v>0</v>
      </c>
      <c r="E1774" s="4" t="s">
        <v>12</v>
      </c>
      <c r="F1774" s="2" t="s">
        <v>0</v>
      </c>
      <c r="G1774" s="2" t="str">
        <f>"01"</f>
        <v>01</v>
      </c>
      <c r="H1774" s="3">
        <v>413</v>
      </c>
    </row>
    <row r="1775" spans="1:8" x14ac:dyDescent="0.25">
      <c r="A1775" s="2" t="str">
        <f>"00046615"</f>
        <v>00046615</v>
      </c>
      <c r="B1775" s="2" t="str">
        <f t="shared" si="82"/>
        <v>SG</v>
      </c>
      <c r="C1775" s="4" t="s">
        <v>1153</v>
      </c>
      <c r="D1775" s="4" t="s">
        <v>0</v>
      </c>
      <c r="E1775" s="4" t="s">
        <v>12</v>
      </c>
      <c r="F1775" s="2" t="s">
        <v>0</v>
      </c>
      <c r="G1775" s="2" t="str">
        <f>"02"</f>
        <v>02</v>
      </c>
      <c r="H1775" s="3">
        <v>552</v>
      </c>
    </row>
    <row r="1776" spans="1:8" ht="29.25" x14ac:dyDescent="0.25">
      <c r="A1776" s="2" t="str">
        <f>"00046700"</f>
        <v>00046700</v>
      </c>
      <c r="B1776" s="2" t="str">
        <f t="shared" si="82"/>
        <v>SG</v>
      </c>
      <c r="C1776" s="4" t="s">
        <v>1155</v>
      </c>
      <c r="D1776" s="4" t="s">
        <v>0</v>
      </c>
      <c r="E1776" s="4" t="s">
        <v>12</v>
      </c>
      <c r="F1776" s="2" t="s">
        <v>0</v>
      </c>
      <c r="G1776" s="2" t="str">
        <f>"03"</f>
        <v>03</v>
      </c>
      <c r="H1776" s="3">
        <v>637</v>
      </c>
    </row>
    <row r="1777" spans="1:8" ht="29.25" x14ac:dyDescent="0.25">
      <c r="A1777" s="2" t="str">
        <f>"00046706"</f>
        <v>00046706</v>
      </c>
      <c r="B1777" s="2" t="str">
        <f t="shared" si="82"/>
        <v>SG</v>
      </c>
      <c r="C1777" s="4" t="s">
        <v>1156</v>
      </c>
      <c r="D1777" s="4" t="s">
        <v>0</v>
      </c>
      <c r="E1777" s="4" t="s">
        <v>12</v>
      </c>
      <c r="F1777" s="2" t="s">
        <v>0</v>
      </c>
      <c r="G1777" s="2" t="str">
        <f>"03"</f>
        <v>03</v>
      </c>
      <c r="H1777" s="3">
        <v>637</v>
      </c>
    </row>
    <row r="1778" spans="1:8" ht="29.25" x14ac:dyDescent="0.25">
      <c r="A1778" s="2" t="str">
        <f>"00046707"</f>
        <v>00046707</v>
      </c>
      <c r="B1778" s="2" t="str">
        <f t="shared" si="82"/>
        <v>SG</v>
      </c>
      <c r="C1778" s="4" t="s">
        <v>1157</v>
      </c>
      <c r="D1778" s="4" t="s">
        <v>0</v>
      </c>
      <c r="E1778" s="4" t="s">
        <v>12</v>
      </c>
      <c r="F1778" s="2" t="s">
        <v>0</v>
      </c>
      <c r="G1778" s="2" t="str">
        <f>"04"</f>
        <v>04</v>
      </c>
      <c r="H1778" s="3">
        <v>785</v>
      </c>
    </row>
    <row r="1779" spans="1:8" ht="29.25" x14ac:dyDescent="0.25">
      <c r="A1779" s="2" t="str">
        <f>"00046750"</f>
        <v>00046750</v>
      </c>
      <c r="B1779" s="2" t="str">
        <f t="shared" si="82"/>
        <v>SG</v>
      </c>
      <c r="C1779" s="4" t="s">
        <v>1158</v>
      </c>
      <c r="D1779" s="4" t="s">
        <v>0</v>
      </c>
      <c r="E1779" s="4" t="s">
        <v>12</v>
      </c>
      <c r="F1779" s="2" t="s">
        <v>0</v>
      </c>
      <c r="G1779" s="2" t="str">
        <f>"04"</f>
        <v>04</v>
      </c>
      <c r="H1779" s="3">
        <v>785</v>
      </c>
    </row>
    <row r="1780" spans="1:8" ht="29.25" x14ac:dyDescent="0.25">
      <c r="A1780" s="2" t="str">
        <f>"00046753"</f>
        <v>00046753</v>
      </c>
      <c r="B1780" s="2" t="str">
        <f t="shared" si="82"/>
        <v>SG</v>
      </c>
      <c r="C1780" s="4" t="s">
        <v>1159</v>
      </c>
      <c r="D1780" s="4" t="s">
        <v>0</v>
      </c>
      <c r="E1780" s="4" t="s">
        <v>12</v>
      </c>
      <c r="F1780" s="2" t="s">
        <v>0</v>
      </c>
      <c r="G1780" s="2" t="str">
        <f>"03"</f>
        <v>03</v>
      </c>
      <c r="H1780" s="3">
        <v>637</v>
      </c>
    </row>
    <row r="1781" spans="1:8" ht="29.25" x14ac:dyDescent="0.25">
      <c r="A1781" s="2" t="str">
        <f>"00046754"</f>
        <v>00046754</v>
      </c>
      <c r="B1781" s="2" t="str">
        <f t="shared" si="82"/>
        <v>SG</v>
      </c>
      <c r="C1781" s="4" t="s">
        <v>1160</v>
      </c>
      <c r="D1781" s="4" t="s">
        <v>0</v>
      </c>
      <c r="E1781" s="4" t="s">
        <v>12</v>
      </c>
      <c r="F1781" s="2" t="s">
        <v>0</v>
      </c>
      <c r="G1781" s="2" t="str">
        <f>"02"</f>
        <v>02</v>
      </c>
      <c r="H1781" s="3">
        <v>552</v>
      </c>
    </row>
    <row r="1782" spans="1:8" ht="29.25" x14ac:dyDescent="0.25">
      <c r="A1782" s="2" t="str">
        <f>"00046760"</f>
        <v>00046760</v>
      </c>
      <c r="B1782" s="2" t="str">
        <f t="shared" si="82"/>
        <v>SG</v>
      </c>
      <c r="C1782" s="4" t="s">
        <v>1158</v>
      </c>
      <c r="D1782" s="4" t="s">
        <v>0</v>
      </c>
      <c r="E1782" s="4" t="s">
        <v>12</v>
      </c>
      <c r="F1782" s="2" t="s">
        <v>0</v>
      </c>
      <c r="G1782" s="2" t="str">
        <f>"04"</f>
        <v>04</v>
      </c>
      <c r="H1782" s="3">
        <v>785</v>
      </c>
    </row>
    <row r="1783" spans="1:8" ht="29.25" x14ac:dyDescent="0.25">
      <c r="A1783" s="2" t="str">
        <f>"00046761"</f>
        <v>00046761</v>
      </c>
      <c r="B1783" s="2" t="str">
        <f t="shared" si="82"/>
        <v>SG</v>
      </c>
      <c r="C1783" s="4" t="s">
        <v>1158</v>
      </c>
      <c r="D1783" s="4" t="s">
        <v>0</v>
      </c>
      <c r="E1783" s="4" t="s">
        <v>12</v>
      </c>
      <c r="F1783" s="2" t="s">
        <v>0</v>
      </c>
      <c r="G1783" s="2" t="str">
        <f>"04"</f>
        <v>04</v>
      </c>
      <c r="H1783" s="3">
        <v>785</v>
      </c>
    </row>
    <row r="1784" spans="1:8" ht="29.25" x14ac:dyDescent="0.25">
      <c r="A1784" s="2" t="str">
        <f>"00046917"</f>
        <v>00046917</v>
      </c>
      <c r="B1784" s="2" t="str">
        <f t="shared" si="82"/>
        <v>SG</v>
      </c>
      <c r="C1784" s="4" t="s">
        <v>1161</v>
      </c>
      <c r="D1784" s="4" t="s">
        <v>0</v>
      </c>
      <c r="E1784" s="4" t="s">
        <v>12</v>
      </c>
      <c r="F1784" s="2" t="s">
        <v>0</v>
      </c>
      <c r="G1784" s="2" t="str">
        <f>"03"</f>
        <v>03</v>
      </c>
      <c r="H1784" s="3">
        <v>637</v>
      </c>
    </row>
    <row r="1785" spans="1:8" ht="29.25" x14ac:dyDescent="0.25">
      <c r="A1785" s="2" t="str">
        <f>"00046922"</f>
        <v>00046922</v>
      </c>
      <c r="B1785" s="2" t="str">
        <f t="shared" si="82"/>
        <v>SG</v>
      </c>
      <c r="C1785" s="4" t="s">
        <v>1162</v>
      </c>
      <c r="D1785" s="4" t="s">
        <v>0</v>
      </c>
      <c r="E1785" s="4" t="s">
        <v>12</v>
      </c>
      <c r="F1785" s="2" t="s">
        <v>0</v>
      </c>
      <c r="G1785" s="2" t="str">
        <f>"03"</f>
        <v>03</v>
      </c>
      <c r="H1785" s="3">
        <v>637</v>
      </c>
    </row>
    <row r="1786" spans="1:8" ht="29.25" x14ac:dyDescent="0.25">
      <c r="A1786" s="2" t="str">
        <f>"00046924"</f>
        <v>00046924</v>
      </c>
      <c r="B1786" s="2" t="str">
        <f t="shared" si="82"/>
        <v>SG</v>
      </c>
      <c r="C1786" s="4" t="s">
        <v>1163</v>
      </c>
      <c r="D1786" s="4" t="s">
        <v>0</v>
      </c>
      <c r="E1786" s="4" t="s">
        <v>12</v>
      </c>
      <c r="F1786" s="2" t="s">
        <v>0</v>
      </c>
      <c r="G1786" s="2" t="str">
        <f>"03"</f>
        <v>03</v>
      </c>
      <c r="H1786" s="3">
        <v>637</v>
      </c>
    </row>
    <row r="1787" spans="1:8" ht="43.5" x14ac:dyDescent="0.25">
      <c r="A1787" s="2" t="str">
        <f>"00046930"</f>
        <v>00046930</v>
      </c>
      <c r="B1787" s="2" t="str">
        <f t="shared" si="82"/>
        <v>SG</v>
      </c>
      <c r="C1787" s="4" t="s">
        <v>1164</v>
      </c>
      <c r="D1787" s="4" t="s">
        <v>0</v>
      </c>
      <c r="E1787" s="4" t="s">
        <v>12</v>
      </c>
      <c r="F1787" s="2" t="s">
        <v>0</v>
      </c>
      <c r="G1787" s="2" t="str">
        <f>"01"</f>
        <v>01</v>
      </c>
      <c r="H1787" s="3">
        <v>413</v>
      </c>
    </row>
    <row r="1788" spans="1:8" ht="29.25" x14ac:dyDescent="0.25">
      <c r="A1788" s="2" t="str">
        <f>"00046946"</f>
        <v>00046946</v>
      </c>
      <c r="B1788" s="2" t="str">
        <f t="shared" si="82"/>
        <v>SG</v>
      </c>
      <c r="C1788" s="4" t="s">
        <v>1165</v>
      </c>
      <c r="D1788" s="4" t="s">
        <v>0</v>
      </c>
      <c r="E1788" s="4" t="s">
        <v>12</v>
      </c>
      <c r="F1788" s="2" t="s">
        <v>0</v>
      </c>
      <c r="G1788" s="2" t="str">
        <f>"03"</f>
        <v>03</v>
      </c>
      <c r="H1788" s="3">
        <v>637</v>
      </c>
    </row>
    <row r="1789" spans="1:8" ht="29.25" x14ac:dyDescent="0.25">
      <c r="A1789" s="2" t="str">
        <f>"00046947"</f>
        <v>00046947</v>
      </c>
      <c r="B1789" s="2" t="str">
        <f t="shared" si="82"/>
        <v>SG</v>
      </c>
      <c r="C1789" s="4" t="s">
        <v>1166</v>
      </c>
      <c r="D1789" s="4" t="s">
        <v>0</v>
      </c>
      <c r="E1789" s="4" t="s">
        <v>12</v>
      </c>
      <c r="F1789" s="2" t="s">
        <v>0</v>
      </c>
      <c r="G1789" s="2" t="str">
        <f>"03"</f>
        <v>03</v>
      </c>
      <c r="H1789" s="3">
        <v>637</v>
      </c>
    </row>
    <row r="1790" spans="1:8" x14ac:dyDescent="0.25">
      <c r="A1790" s="2" t="str">
        <f>"00047000"</f>
        <v>00047000</v>
      </c>
      <c r="B1790" s="2" t="str">
        <f t="shared" si="82"/>
        <v>SG</v>
      </c>
      <c r="C1790" s="4" t="s">
        <v>1167</v>
      </c>
      <c r="D1790" s="4" t="s">
        <v>0</v>
      </c>
      <c r="E1790" s="4" t="s">
        <v>12</v>
      </c>
      <c r="F1790" s="2" t="s">
        <v>0</v>
      </c>
      <c r="G1790" s="2" t="str">
        <f>"01"</f>
        <v>01</v>
      </c>
      <c r="H1790" s="3">
        <v>413</v>
      </c>
    </row>
    <row r="1791" spans="1:8" ht="114.75" x14ac:dyDescent="0.25">
      <c r="A1791" s="2" t="str">
        <f>"00047533"</f>
        <v>00047533</v>
      </c>
      <c r="B1791" s="2" t="str">
        <f t="shared" si="82"/>
        <v>SG</v>
      </c>
      <c r="C1791" s="4" t="s">
        <v>1168</v>
      </c>
      <c r="D1791" s="4" t="s">
        <v>0</v>
      </c>
      <c r="E1791" s="4" t="s">
        <v>12</v>
      </c>
      <c r="F1791" s="2" t="s">
        <v>0</v>
      </c>
      <c r="G1791" s="2" t="str">
        <f>"02"</f>
        <v>02</v>
      </c>
      <c r="H1791" s="3">
        <v>552</v>
      </c>
    </row>
    <row r="1792" spans="1:8" ht="114.75" x14ac:dyDescent="0.25">
      <c r="A1792" s="2" t="str">
        <f>"00047534"</f>
        <v>00047534</v>
      </c>
      <c r="B1792" s="2" t="str">
        <f t="shared" si="82"/>
        <v>SG</v>
      </c>
      <c r="C1792" s="4" t="s">
        <v>1169</v>
      </c>
      <c r="D1792" s="4" t="s">
        <v>0</v>
      </c>
      <c r="E1792" s="4" t="s">
        <v>12</v>
      </c>
      <c r="F1792" s="2" t="s">
        <v>0</v>
      </c>
      <c r="G1792" s="2" t="str">
        <f>"09"</f>
        <v>09</v>
      </c>
      <c r="H1792" s="3">
        <v>1662</v>
      </c>
    </row>
    <row r="1793" spans="1:8" ht="100.5" x14ac:dyDescent="0.25">
      <c r="A1793" s="2" t="str">
        <f>"00047536"</f>
        <v>00047536</v>
      </c>
      <c r="B1793" s="2" t="str">
        <f t="shared" si="82"/>
        <v>SG</v>
      </c>
      <c r="C1793" s="4" t="s">
        <v>1170</v>
      </c>
      <c r="D1793" s="4" t="s">
        <v>0</v>
      </c>
      <c r="E1793" s="4" t="s">
        <v>12</v>
      </c>
      <c r="F1793" s="2" t="s">
        <v>0</v>
      </c>
      <c r="G1793" s="2" t="str">
        <f>"01"</f>
        <v>01</v>
      </c>
      <c r="H1793" s="3">
        <v>413</v>
      </c>
    </row>
    <row r="1794" spans="1:8" ht="114.75" x14ac:dyDescent="0.25">
      <c r="A1794" s="2" t="str">
        <f>"00047537"</f>
        <v>00047537</v>
      </c>
      <c r="B1794" s="2" t="str">
        <f t="shared" si="82"/>
        <v>SG</v>
      </c>
      <c r="C1794" s="4" t="s">
        <v>1171</v>
      </c>
      <c r="D1794" s="4" t="s">
        <v>0</v>
      </c>
      <c r="E1794" s="4" t="s">
        <v>12</v>
      </c>
      <c r="F1794" s="2" t="s">
        <v>0</v>
      </c>
      <c r="G1794" s="2" t="str">
        <f>"02"</f>
        <v>02</v>
      </c>
      <c r="H1794" s="3">
        <v>552</v>
      </c>
    </row>
    <row r="1795" spans="1:8" ht="100.5" x14ac:dyDescent="0.25">
      <c r="A1795" s="2" t="str">
        <f>"00047538"</f>
        <v>00047538</v>
      </c>
      <c r="B1795" s="2" t="str">
        <f t="shared" si="82"/>
        <v>SG</v>
      </c>
      <c r="C1795" s="4" t="s">
        <v>1172</v>
      </c>
      <c r="D1795" s="4" t="s">
        <v>0</v>
      </c>
      <c r="E1795" s="4" t="s">
        <v>12</v>
      </c>
      <c r="F1795" s="2" t="s">
        <v>0</v>
      </c>
      <c r="G1795" s="2" t="str">
        <f>"01"</f>
        <v>01</v>
      </c>
      <c r="H1795" s="3">
        <v>413</v>
      </c>
    </row>
    <row r="1796" spans="1:8" ht="100.5" x14ac:dyDescent="0.25">
      <c r="A1796" s="2" t="str">
        <f>"00047539"</f>
        <v>00047539</v>
      </c>
      <c r="B1796" s="2" t="str">
        <f t="shared" si="82"/>
        <v>SG</v>
      </c>
      <c r="C1796" s="4" t="s">
        <v>1173</v>
      </c>
      <c r="D1796" s="4" t="s">
        <v>0</v>
      </c>
      <c r="E1796" s="4" t="s">
        <v>12</v>
      </c>
      <c r="F1796" s="2" t="s">
        <v>0</v>
      </c>
      <c r="G1796" s="2" t="str">
        <f>"02"</f>
        <v>02</v>
      </c>
      <c r="H1796" s="3">
        <v>552</v>
      </c>
    </row>
    <row r="1797" spans="1:8" ht="100.5" x14ac:dyDescent="0.25">
      <c r="A1797" s="2" t="str">
        <f>"00047540"</f>
        <v>00047540</v>
      </c>
      <c r="B1797" s="2" t="str">
        <f t="shared" si="82"/>
        <v>SG</v>
      </c>
      <c r="C1797" s="4" t="s">
        <v>1174</v>
      </c>
      <c r="D1797" s="4" t="s">
        <v>0</v>
      </c>
      <c r="E1797" s="4" t="s">
        <v>12</v>
      </c>
      <c r="F1797" s="2" t="s">
        <v>0</v>
      </c>
      <c r="G1797" s="2" t="str">
        <f>"02"</f>
        <v>02</v>
      </c>
      <c r="H1797" s="3">
        <v>552</v>
      </c>
    </row>
    <row r="1798" spans="1:8" ht="114.75" x14ac:dyDescent="0.25">
      <c r="A1798" s="2" t="str">
        <f>"00047541"</f>
        <v>00047541</v>
      </c>
      <c r="B1798" s="2" t="str">
        <f t="shared" si="82"/>
        <v>SG</v>
      </c>
      <c r="C1798" s="4" t="s">
        <v>1175</v>
      </c>
      <c r="D1798" s="4" t="s">
        <v>0</v>
      </c>
      <c r="E1798" s="4" t="s">
        <v>12</v>
      </c>
      <c r="F1798" s="2" t="s">
        <v>0</v>
      </c>
      <c r="G1798" s="2" t="str">
        <f>"02"</f>
        <v>02</v>
      </c>
      <c r="H1798" s="3">
        <v>552</v>
      </c>
    </row>
    <row r="1799" spans="1:8" ht="114.75" x14ac:dyDescent="0.25">
      <c r="A1799" s="2" t="str">
        <f>"00047544"</f>
        <v>00047544</v>
      </c>
      <c r="B1799" s="2" t="str">
        <f t="shared" si="82"/>
        <v>SG</v>
      </c>
      <c r="C1799" s="4" t="s">
        <v>1176</v>
      </c>
      <c r="D1799" s="4" t="s">
        <v>0</v>
      </c>
      <c r="E1799" s="4" t="s">
        <v>12</v>
      </c>
      <c r="F1799" s="2" t="s">
        <v>0</v>
      </c>
      <c r="G1799" s="2" t="str">
        <f>"02"</f>
        <v>02</v>
      </c>
      <c r="H1799" s="3">
        <v>552</v>
      </c>
    </row>
    <row r="1800" spans="1:8" ht="29.25" x14ac:dyDescent="0.25">
      <c r="A1800" s="2" t="str">
        <f>"00047552"</f>
        <v>00047552</v>
      </c>
      <c r="B1800" s="2" t="str">
        <f t="shared" si="82"/>
        <v>SG</v>
      </c>
      <c r="C1800" s="4" t="s">
        <v>1177</v>
      </c>
      <c r="D1800" s="4" t="s">
        <v>0</v>
      </c>
      <c r="E1800" s="4" t="s">
        <v>12</v>
      </c>
      <c r="F1800" s="2" t="s">
        <v>0</v>
      </c>
      <c r="G1800" s="2" t="str">
        <f>"02"</f>
        <v>02</v>
      </c>
      <c r="H1800" s="3">
        <v>552</v>
      </c>
    </row>
    <row r="1801" spans="1:8" ht="29.25" x14ac:dyDescent="0.25">
      <c r="A1801" s="2" t="str">
        <f>"00047553"</f>
        <v>00047553</v>
      </c>
      <c r="B1801" s="2" t="str">
        <f t="shared" si="82"/>
        <v>SG</v>
      </c>
      <c r="C1801" s="4" t="s">
        <v>1177</v>
      </c>
      <c r="D1801" s="4" t="s">
        <v>0</v>
      </c>
      <c r="E1801" s="4" t="s">
        <v>12</v>
      </c>
      <c r="F1801" s="2" t="s">
        <v>0</v>
      </c>
      <c r="G1801" s="2" t="str">
        <f>"03"</f>
        <v>03</v>
      </c>
      <c r="H1801" s="3">
        <v>637</v>
      </c>
    </row>
    <row r="1802" spans="1:8" ht="29.25" x14ac:dyDescent="0.25">
      <c r="A1802" s="2" t="str">
        <f>"00047554"</f>
        <v>00047554</v>
      </c>
      <c r="B1802" s="2" t="str">
        <f t="shared" si="82"/>
        <v>SG</v>
      </c>
      <c r="C1802" s="4" t="s">
        <v>1177</v>
      </c>
      <c r="D1802" s="4" t="s">
        <v>0</v>
      </c>
      <c r="E1802" s="4" t="s">
        <v>12</v>
      </c>
      <c r="F1802" s="2" t="s">
        <v>0</v>
      </c>
      <c r="G1802" s="2" t="str">
        <f>"03"</f>
        <v>03</v>
      </c>
      <c r="H1802" s="3">
        <v>637</v>
      </c>
    </row>
    <row r="1803" spans="1:8" ht="29.25" x14ac:dyDescent="0.25">
      <c r="A1803" s="2" t="str">
        <f>"00047555"</f>
        <v>00047555</v>
      </c>
      <c r="B1803" s="2" t="str">
        <f t="shared" si="82"/>
        <v>SG</v>
      </c>
      <c r="C1803" s="4" t="s">
        <v>1177</v>
      </c>
      <c r="D1803" s="4" t="s">
        <v>0</v>
      </c>
      <c r="E1803" s="4" t="s">
        <v>12</v>
      </c>
      <c r="F1803" s="2" t="s">
        <v>0</v>
      </c>
      <c r="G1803" s="2" t="str">
        <f>"03"</f>
        <v>03</v>
      </c>
      <c r="H1803" s="3">
        <v>637</v>
      </c>
    </row>
    <row r="1804" spans="1:8" ht="29.25" x14ac:dyDescent="0.25">
      <c r="A1804" s="2" t="str">
        <f>"00047556"</f>
        <v>00047556</v>
      </c>
      <c r="B1804" s="2" t="str">
        <f t="shared" si="82"/>
        <v>SG</v>
      </c>
      <c r="C1804" s="4" t="s">
        <v>1177</v>
      </c>
      <c r="D1804" s="4" t="s">
        <v>0</v>
      </c>
      <c r="E1804" s="4" t="s">
        <v>12</v>
      </c>
      <c r="F1804" s="2" t="s">
        <v>0</v>
      </c>
      <c r="G1804" s="2" t="str">
        <f>"09"</f>
        <v>09</v>
      </c>
      <c r="H1804" s="3">
        <v>1662</v>
      </c>
    </row>
    <row r="1805" spans="1:8" ht="29.25" x14ac:dyDescent="0.25">
      <c r="A1805" s="2" t="str">
        <f>"00047562"</f>
        <v>00047562</v>
      </c>
      <c r="B1805" s="2" t="str">
        <f t="shared" ref="B1805:B1868" si="84">"SG"</f>
        <v>SG</v>
      </c>
      <c r="C1805" s="4" t="s">
        <v>1178</v>
      </c>
      <c r="D1805" s="4" t="s">
        <v>0</v>
      </c>
      <c r="E1805" s="4" t="s">
        <v>12</v>
      </c>
      <c r="F1805" s="2" t="s">
        <v>0</v>
      </c>
      <c r="G1805" s="2" t="str">
        <f>"07"</f>
        <v>07</v>
      </c>
      <c r="H1805" s="3">
        <v>1233</v>
      </c>
    </row>
    <row r="1806" spans="1:8" ht="29.25" x14ac:dyDescent="0.25">
      <c r="A1806" s="2" t="str">
        <f>"00047563"</f>
        <v>00047563</v>
      </c>
      <c r="B1806" s="2" t="str">
        <f t="shared" si="84"/>
        <v>SG</v>
      </c>
      <c r="C1806" s="4" t="s">
        <v>1179</v>
      </c>
      <c r="D1806" s="4" t="s">
        <v>0</v>
      </c>
      <c r="E1806" s="4" t="s">
        <v>12</v>
      </c>
      <c r="F1806" s="2" t="s">
        <v>0</v>
      </c>
      <c r="G1806" s="2" t="str">
        <f>"08"</f>
        <v>08</v>
      </c>
      <c r="H1806" s="3">
        <v>1183</v>
      </c>
    </row>
    <row r="1807" spans="1:8" ht="29.25" x14ac:dyDescent="0.25">
      <c r="A1807" s="2" t="str">
        <f>"00047564"</f>
        <v>00047564</v>
      </c>
      <c r="B1807" s="2" t="str">
        <f t="shared" si="84"/>
        <v>SG</v>
      </c>
      <c r="C1807" s="4" t="s">
        <v>1180</v>
      </c>
      <c r="D1807" s="4" t="s">
        <v>0</v>
      </c>
      <c r="E1807" s="4" t="s">
        <v>12</v>
      </c>
      <c r="F1807" s="2" t="s">
        <v>0</v>
      </c>
      <c r="G1807" s="2" t="str">
        <f>"08"</f>
        <v>08</v>
      </c>
      <c r="H1807" s="3">
        <v>1183</v>
      </c>
    </row>
    <row r="1808" spans="1:8" ht="43.5" x14ac:dyDescent="0.25">
      <c r="A1808" s="2" t="str">
        <f>"00047579"</f>
        <v>00047579</v>
      </c>
      <c r="B1808" s="2" t="str">
        <f t="shared" si="84"/>
        <v>SG</v>
      </c>
      <c r="C1808" s="4" t="s">
        <v>1181</v>
      </c>
      <c r="D1808" s="4" t="s">
        <v>0</v>
      </c>
      <c r="E1808" s="4" t="s">
        <v>12</v>
      </c>
      <c r="F1808" s="2" t="s">
        <v>0</v>
      </c>
      <c r="G1808" s="2" t="str">
        <f>"03"</f>
        <v>03</v>
      </c>
      <c r="H1808" s="3">
        <v>637</v>
      </c>
    </row>
    <row r="1809" spans="1:8" ht="29.25" x14ac:dyDescent="0.25">
      <c r="A1809" s="2" t="str">
        <f>"00048102"</f>
        <v>00048102</v>
      </c>
      <c r="B1809" s="2" t="str">
        <f t="shared" si="84"/>
        <v>SG</v>
      </c>
      <c r="C1809" s="4" t="s">
        <v>1182</v>
      </c>
      <c r="D1809" s="4" t="s">
        <v>0</v>
      </c>
      <c r="E1809" s="4" t="s">
        <v>12</v>
      </c>
      <c r="F1809" s="2" t="s">
        <v>0</v>
      </c>
      <c r="G1809" s="2" t="str">
        <f>"01"</f>
        <v>01</v>
      </c>
      <c r="H1809" s="3">
        <v>413</v>
      </c>
    </row>
    <row r="1810" spans="1:8" x14ac:dyDescent="0.25">
      <c r="A1810" s="2" t="str">
        <f>"00049180"</f>
        <v>00049180</v>
      </c>
      <c r="B1810" s="2" t="str">
        <f t="shared" si="84"/>
        <v>SG</v>
      </c>
      <c r="C1810" s="4" t="s">
        <v>1183</v>
      </c>
      <c r="D1810" s="4" t="s">
        <v>0</v>
      </c>
      <c r="E1810" s="4" t="s">
        <v>12</v>
      </c>
      <c r="F1810" s="2" t="s">
        <v>0</v>
      </c>
      <c r="G1810" s="2" t="str">
        <f>"01"</f>
        <v>01</v>
      </c>
      <c r="H1810" s="3">
        <v>413</v>
      </c>
    </row>
    <row r="1811" spans="1:8" x14ac:dyDescent="0.25">
      <c r="A1811" s="2" t="str">
        <f>"00049250"</f>
        <v>00049250</v>
      </c>
      <c r="B1811" s="2" t="str">
        <f t="shared" si="84"/>
        <v>SG</v>
      </c>
      <c r="C1811" s="4" t="s">
        <v>1184</v>
      </c>
      <c r="D1811" s="4" t="s">
        <v>0</v>
      </c>
      <c r="E1811" s="4" t="s">
        <v>12</v>
      </c>
      <c r="F1811" s="2" t="s">
        <v>0</v>
      </c>
      <c r="G1811" s="2" t="str">
        <f>"04"</f>
        <v>04</v>
      </c>
      <c r="H1811" s="3">
        <v>785</v>
      </c>
    </row>
    <row r="1812" spans="1:8" ht="29.25" x14ac:dyDescent="0.25">
      <c r="A1812" s="2" t="str">
        <f>"00049320"</f>
        <v>00049320</v>
      </c>
      <c r="B1812" s="2" t="str">
        <f t="shared" si="84"/>
        <v>SG</v>
      </c>
      <c r="C1812" s="4" t="s">
        <v>1185</v>
      </c>
      <c r="D1812" s="4" t="s">
        <v>0</v>
      </c>
      <c r="E1812" s="4" t="s">
        <v>12</v>
      </c>
      <c r="F1812" s="2" t="s">
        <v>0</v>
      </c>
      <c r="G1812" s="2" t="str">
        <f>"06"</f>
        <v>06</v>
      </c>
      <c r="H1812" s="3">
        <v>1000</v>
      </c>
    </row>
    <row r="1813" spans="1:8" x14ac:dyDescent="0.25">
      <c r="A1813" s="2" t="str">
        <f>"00049321"</f>
        <v>00049321</v>
      </c>
      <c r="B1813" s="2" t="str">
        <f t="shared" si="84"/>
        <v>SG</v>
      </c>
      <c r="C1813" s="4" t="s">
        <v>1186</v>
      </c>
      <c r="D1813" s="4" t="s">
        <v>0</v>
      </c>
      <c r="E1813" s="4" t="s">
        <v>12</v>
      </c>
      <c r="F1813" s="2" t="s">
        <v>0</v>
      </c>
      <c r="G1813" s="2" t="str">
        <f>"06"</f>
        <v>06</v>
      </c>
      <c r="H1813" s="3">
        <v>1000</v>
      </c>
    </row>
    <row r="1814" spans="1:8" ht="29.25" x14ac:dyDescent="0.25">
      <c r="A1814" s="2" t="str">
        <f>"00049322"</f>
        <v>00049322</v>
      </c>
      <c r="B1814" s="2" t="str">
        <f t="shared" si="84"/>
        <v>SG</v>
      </c>
      <c r="C1814" s="4" t="s">
        <v>1187</v>
      </c>
      <c r="D1814" s="4" t="s">
        <v>0</v>
      </c>
      <c r="E1814" s="4" t="s">
        <v>12</v>
      </c>
      <c r="F1814" s="2" t="s">
        <v>0</v>
      </c>
      <c r="G1814" s="2" t="str">
        <f>"06"</f>
        <v>06</v>
      </c>
      <c r="H1814" s="3">
        <v>1000</v>
      </c>
    </row>
    <row r="1815" spans="1:8" ht="29.25" x14ac:dyDescent="0.25">
      <c r="A1815" s="2" t="str">
        <f>"00049402"</f>
        <v>00049402</v>
      </c>
      <c r="B1815" s="2" t="str">
        <f t="shared" si="84"/>
        <v>SG</v>
      </c>
      <c r="C1815" s="4" t="s">
        <v>1188</v>
      </c>
      <c r="D1815" s="4" t="s">
        <v>0</v>
      </c>
      <c r="E1815" s="4" t="s">
        <v>12</v>
      </c>
      <c r="F1815" s="2" t="s">
        <v>0</v>
      </c>
      <c r="G1815" s="2" t="str">
        <f>"03"</f>
        <v>03</v>
      </c>
      <c r="H1815" s="3">
        <v>637</v>
      </c>
    </row>
    <row r="1816" spans="1:8" ht="29.25" x14ac:dyDescent="0.25">
      <c r="A1816" s="2" t="str">
        <f>"00049411"</f>
        <v>00049411</v>
      </c>
      <c r="B1816" s="2" t="str">
        <f t="shared" si="84"/>
        <v>SG</v>
      </c>
      <c r="C1816" s="4" t="s">
        <v>1189</v>
      </c>
      <c r="D1816" s="4" t="s">
        <v>0</v>
      </c>
      <c r="E1816" s="4" t="s">
        <v>12</v>
      </c>
      <c r="F1816" s="2" t="s">
        <v>0</v>
      </c>
      <c r="G1816" s="2" t="str">
        <f>"01"</f>
        <v>01</v>
      </c>
      <c r="H1816" s="3">
        <v>413</v>
      </c>
    </row>
    <row r="1817" spans="1:8" ht="29.25" x14ac:dyDescent="0.25">
      <c r="A1817" s="2" t="str">
        <f>"00049419"</f>
        <v>00049419</v>
      </c>
      <c r="B1817" s="2" t="str">
        <f t="shared" si="84"/>
        <v>SG</v>
      </c>
      <c r="C1817" s="4" t="s">
        <v>1190</v>
      </c>
      <c r="D1817" s="4" t="s">
        <v>0</v>
      </c>
      <c r="E1817" s="4" t="s">
        <v>12</v>
      </c>
      <c r="F1817" s="2" t="s">
        <v>0</v>
      </c>
      <c r="G1817" s="2" t="str">
        <f>"03"</f>
        <v>03</v>
      </c>
      <c r="H1817" s="3">
        <v>637</v>
      </c>
    </row>
    <row r="1818" spans="1:8" ht="29.25" x14ac:dyDescent="0.25">
      <c r="A1818" s="2" t="str">
        <f>"00049421"</f>
        <v>00049421</v>
      </c>
      <c r="B1818" s="2" t="str">
        <f t="shared" si="84"/>
        <v>SG</v>
      </c>
      <c r="C1818" s="4" t="s">
        <v>1191</v>
      </c>
      <c r="D1818" s="4" t="s">
        <v>0</v>
      </c>
      <c r="E1818" s="4" t="s">
        <v>12</v>
      </c>
      <c r="F1818" s="2" t="s">
        <v>0</v>
      </c>
      <c r="G1818" s="2" t="str">
        <f>"01"</f>
        <v>01</v>
      </c>
      <c r="H1818" s="3">
        <v>413</v>
      </c>
    </row>
    <row r="1819" spans="1:8" ht="29.25" x14ac:dyDescent="0.25">
      <c r="A1819" s="2" t="str">
        <f>"00049422"</f>
        <v>00049422</v>
      </c>
      <c r="B1819" s="2" t="str">
        <f t="shared" si="84"/>
        <v>SG</v>
      </c>
      <c r="C1819" s="4" t="s">
        <v>1192</v>
      </c>
      <c r="D1819" s="4" t="s">
        <v>0</v>
      </c>
      <c r="E1819" s="4" t="s">
        <v>12</v>
      </c>
      <c r="F1819" s="2" t="s">
        <v>0</v>
      </c>
      <c r="G1819" s="2" t="str">
        <f>"01"</f>
        <v>01</v>
      </c>
      <c r="H1819" s="3">
        <v>413</v>
      </c>
    </row>
    <row r="1820" spans="1:8" ht="29.25" x14ac:dyDescent="0.25">
      <c r="A1820" s="2" t="str">
        <f>"00049426"</f>
        <v>00049426</v>
      </c>
      <c r="B1820" s="2" t="str">
        <f t="shared" si="84"/>
        <v>SG</v>
      </c>
      <c r="C1820" s="4" t="s">
        <v>1193</v>
      </c>
      <c r="D1820" s="4" t="s">
        <v>0</v>
      </c>
      <c r="E1820" s="4" t="s">
        <v>12</v>
      </c>
      <c r="F1820" s="2" t="s">
        <v>0</v>
      </c>
      <c r="G1820" s="2" t="str">
        <f>"03"</f>
        <v>03</v>
      </c>
      <c r="H1820" s="3">
        <v>637</v>
      </c>
    </row>
    <row r="1821" spans="1:8" ht="57.75" x14ac:dyDescent="0.25">
      <c r="A1821" s="2" t="str">
        <f>"00049440"</f>
        <v>00049440</v>
      </c>
      <c r="B1821" s="2" t="str">
        <f t="shared" si="84"/>
        <v>SG</v>
      </c>
      <c r="C1821" s="4" t="s">
        <v>1194</v>
      </c>
      <c r="D1821" s="4" t="s">
        <v>0</v>
      </c>
      <c r="E1821" s="4" t="s">
        <v>12</v>
      </c>
      <c r="F1821" s="2" t="s">
        <v>0</v>
      </c>
      <c r="G1821" s="2" t="str">
        <f t="shared" ref="G1821:G1826" si="85">"01"</f>
        <v>01</v>
      </c>
      <c r="H1821" s="3">
        <v>413</v>
      </c>
    </row>
    <row r="1822" spans="1:8" ht="114.75" x14ac:dyDescent="0.25">
      <c r="A1822" s="2" t="str">
        <f>"00049441"</f>
        <v>00049441</v>
      </c>
      <c r="B1822" s="2" t="str">
        <f t="shared" si="84"/>
        <v>SG</v>
      </c>
      <c r="C1822" s="4" t="s">
        <v>1195</v>
      </c>
      <c r="D1822" s="4" t="s">
        <v>0</v>
      </c>
      <c r="E1822" s="4" t="s">
        <v>12</v>
      </c>
      <c r="F1822" s="2" t="s">
        <v>0</v>
      </c>
      <c r="G1822" s="2" t="str">
        <f t="shared" si="85"/>
        <v>01</v>
      </c>
      <c r="H1822" s="3">
        <v>413</v>
      </c>
    </row>
    <row r="1823" spans="1:8" ht="72" x14ac:dyDescent="0.25">
      <c r="A1823" s="2" t="str">
        <f>"00049446"</f>
        <v>00049446</v>
      </c>
      <c r="B1823" s="2" t="str">
        <f t="shared" si="84"/>
        <v>SG</v>
      </c>
      <c r="C1823" s="4" t="s">
        <v>1196</v>
      </c>
      <c r="D1823" s="4" t="s">
        <v>0</v>
      </c>
      <c r="E1823" s="4" t="s">
        <v>12</v>
      </c>
      <c r="F1823" s="2" t="s">
        <v>0</v>
      </c>
      <c r="G1823" s="2" t="str">
        <f t="shared" si="85"/>
        <v>01</v>
      </c>
      <c r="H1823" s="3">
        <v>413</v>
      </c>
    </row>
    <row r="1824" spans="1:8" ht="72" x14ac:dyDescent="0.25">
      <c r="A1824" s="2" t="str">
        <f>"00049450"</f>
        <v>00049450</v>
      </c>
      <c r="B1824" s="2" t="str">
        <f t="shared" si="84"/>
        <v>SG</v>
      </c>
      <c r="C1824" s="4" t="s">
        <v>1197</v>
      </c>
      <c r="D1824" s="4" t="s">
        <v>0</v>
      </c>
      <c r="E1824" s="4" t="s">
        <v>12</v>
      </c>
      <c r="F1824" s="2" t="s">
        <v>0</v>
      </c>
      <c r="G1824" s="2" t="str">
        <f t="shared" si="85"/>
        <v>01</v>
      </c>
      <c r="H1824" s="3">
        <v>413</v>
      </c>
    </row>
    <row r="1825" spans="1:8" ht="100.5" x14ac:dyDescent="0.25">
      <c r="A1825" s="2" t="str">
        <f>"00049451"</f>
        <v>00049451</v>
      </c>
      <c r="B1825" s="2" t="str">
        <f t="shared" si="84"/>
        <v>SG</v>
      </c>
      <c r="C1825" s="4" t="s">
        <v>1198</v>
      </c>
      <c r="D1825" s="4" t="s">
        <v>0</v>
      </c>
      <c r="E1825" s="4" t="s">
        <v>12</v>
      </c>
      <c r="F1825" s="2" t="s">
        <v>0</v>
      </c>
      <c r="G1825" s="2" t="str">
        <f t="shared" si="85"/>
        <v>01</v>
      </c>
      <c r="H1825" s="3">
        <v>413</v>
      </c>
    </row>
    <row r="1826" spans="1:8" ht="100.5" x14ac:dyDescent="0.25">
      <c r="A1826" s="2" t="str">
        <f>"00049452"</f>
        <v>00049452</v>
      </c>
      <c r="B1826" s="2" t="str">
        <f t="shared" si="84"/>
        <v>SG</v>
      </c>
      <c r="C1826" s="4" t="s">
        <v>1199</v>
      </c>
      <c r="D1826" s="4" t="s">
        <v>0</v>
      </c>
      <c r="E1826" s="4" t="s">
        <v>12</v>
      </c>
      <c r="F1826" s="2" t="s">
        <v>0</v>
      </c>
      <c r="G1826" s="2" t="str">
        <f t="shared" si="85"/>
        <v>01</v>
      </c>
      <c r="H1826" s="3">
        <v>413</v>
      </c>
    </row>
    <row r="1827" spans="1:8" ht="29.25" x14ac:dyDescent="0.25">
      <c r="A1827" s="2" t="str">
        <f>"00049495"</f>
        <v>00049495</v>
      </c>
      <c r="B1827" s="2" t="str">
        <f t="shared" si="84"/>
        <v>SG</v>
      </c>
      <c r="C1827" s="4" t="s">
        <v>1200</v>
      </c>
      <c r="D1827" s="4" t="s">
        <v>0</v>
      </c>
      <c r="E1827" s="4" t="s">
        <v>12</v>
      </c>
      <c r="F1827" s="2" t="s">
        <v>0</v>
      </c>
      <c r="G1827" s="2" t="str">
        <f t="shared" ref="G1827:G1844" si="86">"04"</f>
        <v>04</v>
      </c>
      <c r="H1827" s="3">
        <v>785</v>
      </c>
    </row>
    <row r="1828" spans="1:8" ht="29.25" x14ac:dyDescent="0.25">
      <c r="A1828" s="2" t="str">
        <f>"00049496"</f>
        <v>00049496</v>
      </c>
      <c r="B1828" s="2" t="str">
        <f t="shared" si="84"/>
        <v>SG</v>
      </c>
      <c r="C1828" s="4" t="s">
        <v>1201</v>
      </c>
      <c r="D1828" s="4" t="s">
        <v>0</v>
      </c>
      <c r="E1828" s="4" t="s">
        <v>12</v>
      </c>
      <c r="F1828" s="2" t="s">
        <v>0</v>
      </c>
      <c r="G1828" s="2" t="str">
        <f t="shared" si="86"/>
        <v>04</v>
      </c>
      <c r="H1828" s="3">
        <v>785</v>
      </c>
    </row>
    <row r="1829" spans="1:8" ht="29.25" x14ac:dyDescent="0.25">
      <c r="A1829" s="2" t="str">
        <f>"00049500"</f>
        <v>00049500</v>
      </c>
      <c r="B1829" s="2" t="str">
        <f t="shared" si="84"/>
        <v>SG</v>
      </c>
      <c r="C1829" s="4" t="s">
        <v>1202</v>
      </c>
      <c r="D1829" s="4" t="s">
        <v>0</v>
      </c>
      <c r="E1829" s="4" t="s">
        <v>12</v>
      </c>
      <c r="F1829" s="2" t="s">
        <v>0</v>
      </c>
      <c r="G1829" s="2" t="str">
        <f t="shared" si="86"/>
        <v>04</v>
      </c>
      <c r="H1829" s="3">
        <v>785</v>
      </c>
    </row>
    <row r="1830" spans="1:8" ht="29.25" x14ac:dyDescent="0.25">
      <c r="A1830" s="2" t="str">
        <f>"00049501"</f>
        <v>00049501</v>
      </c>
      <c r="B1830" s="2" t="str">
        <f t="shared" si="84"/>
        <v>SG</v>
      </c>
      <c r="C1830" s="4" t="s">
        <v>1203</v>
      </c>
      <c r="D1830" s="4" t="s">
        <v>0</v>
      </c>
      <c r="E1830" s="4" t="s">
        <v>12</v>
      </c>
      <c r="F1830" s="2" t="s">
        <v>0</v>
      </c>
      <c r="G1830" s="2" t="str">
        <f t="shared" si="86"/>
        <v>04</v>
      </c>
      <c r="H1830" s="3">
        <v>785</v>
      </c>
    </row>
    <row r="1831" spans="1:8" ht="29.25" x14ac:dyDescent="0.25">
      <c r="A1831" s="2" t="str">
        <f>"00049505"</f>
        <v>00049505</v>
      </c>
      <c r="B1831" s="2" t="str">
        <f t="shared" si="84"/>
        <v>SG</v>
      </c>
      <c r="C1831" s="4" t="s">
        <v>1204</v>
      </c>
      <c r="D1831" s="4" t="s">
        <v>0</v>
      </c>
      <c r="E1831" s="4" t="s">
        <v>12</v>
      </c>
      <c r="F1831" s="2" t="s">
        <v>0</v>
      </c>
      <c r="G1831" s="2" t="str">
        <f t="shared" si="86"/>
        <v>04</v>
      </c>
      <c r="H1831" s="3">
        <v>785</v>
      </c>
    </row>
    <row r="1832" spans="1:8" ht="29.25" x14ac:dyDescent="0.25">
      <c r="A1832" s="2" t="str">
        <f>"00049507"</f>
        <v>00049507</v>
      </c>
      <c r="B1832" s="2" t="str">
        <f t="shared" si="84"/>
        <v>SG</v>
      </c>
      <c r="C1832" s="4" t="s">
        <v>1205</v>
      </c>
      <c r="D1832" s="4" t="s">
        <v>0</v>
      </c>
      <c r="E1832" s="4" t="s">
        <v>12</v>
      </c>
      <c r="F1832" s="2" t="s">
        <v>0</v>
      </c>
      <c r="G1832" s="2" t="str">
        <f t="shared" si="86"/>
        <v>04</v>
      </c>
      <c r="H1832" s="3">
        <v>785</v>
      </c>
    </row>
    <row r="1833" spans="1:8" ht="29.25" x14ac:dyDescent="0.25">
      <c r="A1833" s="2" t="str">
        <f>"00049520"</f>
        <v>00049520</v>
      </c>
      <c r="B1833" s="2" t="str">
        <f t="shared" si="84"/>
        <v>SG</v>
      </c>
      <c r="C1833" s="4" t="s">
        <v>1206</v>
      </c>
      <c r="D1833" s="4" t="s">
        <v>0</v>
      </c>
      <c r="E1833" s="4" t="s">
        <v>12</v>
      </c>
      <c r="F1833" s="2" t="s">
        <v>0</v>
      </c>
      <c r="G1833" s="2" t="str">
        <f t="shared" si="86"/>
        <v>04</v>
      </c>
      <c r="H1833" s="3">
        <v>785</v>
      </c>
    </row>
    <row r="1834" spans="1:8" ht="29.25" x14ac:dyDescent="0.25">
      <c r="A1834" s="2" t="str">
        <f>"00049521"</f>
        <v>00049521</v>
      </c>
      <c r="B1834" s="2" t="str">
        <f t="shared" si="84"/>
        <v>SG</v>
      </c>
      <c r="C1834" s="4" t="s">
        <v>1207</v>
      </c>
      <c r="D1834" s="4" t="s">
        <v>0</v>
      </c>
      <c r="E1834" s="4" t="s">
        <v>12</v>
      </c>
      <c r="F1834" s="2" t="s">
        <v>0</v>
      </c>
      <c r="G1834" s="2" t="str">
        <f t="shared" si="86"/>
        <v>04</v>
      </c>
      <c r="H1834" s="3">
        <v>785</v>
      </c>
    </row>
    <row r="1835" spans="1:8" x14ac:dyDescent="0.25">
      <c r="A1835" s="2" t="str">
        <f>"00049525"</f>
        <v>00049525</v>
      </c>
      <c r="B1835" s="2" t="str">
        <f t="shared" si="84"/>
        <v>SG</v>
      </c>
      <c r="C1835" s="4" t="s">
        <v>1208</v>
      </c>
      <c r="D1835" s="4" t="s">
        <v>0</v>
      </c>
      <c r="E1835" s="4" t="s">
        <v>12</v>
      </c>
      <c r="F1835" s="2" t="s">
        <v>0</v>
      </c>
      <c r="G1835" s="2" t="str">
        <f t="shared" si="86"/>
        <v>04</v>
      </c>
      <c r="H1835" s="3">
        <v>785</v>
      </c>
    </row>
    <row r="1836" spans="1:8" x14ac:dyDescent="0.25">
      <c r="A1836" s="2" t="str">
        <f>"00049540"</f>
        <v>00049540</v>
      </c>
      <c r="B1836" s="2" t="str">
        <f t="shared" si="84"/>
        <v>SG</v>
      </c>
      <c r="C1836" s="4" t="s">
        <v>1209</v>
      </c>
      <c r="D1836" s="4" t="s">
        <v>0</v>
      </c>
      <c r="E1836" s="4" t="s">
        <v>12</v>
      </c>
      <c r="F1836" s="2" t="s">
        <v>0</v>
      </c>
      <c r="G1836" s="2" t="str">
        <f t="shared" si="86"/>
        <v>04</v>
      </c>
      <c r="H1836" s="3">
        <v>785</v>
      </c>
    </row>
    <row r="1837" spans="1:8" ht="29.25" x14ac:dyDescent="0.25">
      <c r="A1837" s="2" t="str">
        <f>"00049550"</f>
        <v>00049550</v>
      </c>
      <c r="B1837" s="2" t="str">
        <f t="shared" si="84"/>
        <v>SG</v>
      </c>
      <c r="C1837" s="4" t="s">
        <v>1210</v>
      </c>
      <c r="D1837" s="4" t="s">
        <v>0</v>
      </c>
      <c r="E1837" s="4" t="s">
        <v>12</v>
      </c>
      <c r="F1837" s="2" t="s">
        <v>0</v>
      </c>
      <c r="G1837" s="2" t="str">
        <f t="shared" si="86"/>
        <v>04</v>
      </c>
      <c r="H1837" s="3">
        <v>785</v>
      </c>
    </row>
    <row r="1838" spans="1:8" ht="29.25" x14ac:dyDescent="0.25">
      <c r="A1838" s="2" t="str">
        <f>"00049553"</f>
        <v>00049553</v>
      </c>
      <c r="B1838" s="2" t="str">
        <f t="shared" si="84"/>
        <v>SG</v>
      </c>
      <c r="C1838" s="4" t="s">
        <v>1211</v>
      </c>
      <c r="D1838" s="4" t="s">
        <v>0</v>
      </c>
      <c r="E1838" s="4" t="s">
        <v>12</v>
      </c>
      <c r="F1838" s="2" t="s">
        <v>0</v>
      </c>
      <c r="G1838" s="2" t="str">
        <f t="shared" si="86"/>
        <v>04</v>
      </c>
      <c r="H1838" s="3">
        <v>785</v>
      </c>
    </row>
    <row r="1839" spans="1:8" ht="29.25" x14ac:dyDescent="0.25">
      <c r="A1839" s="2" t="str">
        <f>"00049555"</f>
        <v>00049555</v>
      </c>
      <c r="B1839" s="2" t="str">
        <f t="shared" si="84"/>
        <v>SG</v>
      </c>
      <c r="C1839" s="4" t="s">
        <v>1212</v>
      </c>
      <c r="D1839" s="4" t="s">
        <v>0</v>
      </c>
      <c r="E1839" s="4" t="s">
        <v>12</v>
      </c>
      <c r="F1839" s="2" t="s">
        <v>0</v>
      </c>
      <c r="G1839" s="2" t="str">
        <f t="shared" si="86"/>
        <v>04</v>
      </c>
      <c r="H1839" s="3">
        <v>785</v>
      </c>
    </row>
    <row r="1840" spans="1:8" ht="29.25" x14ac:dyDescent="0.25">
      <c r="A1840" s="2" t="str">
        <f>"00049557"</f>
        <v>00049557</v>
      </c>
      <c r="B1840" s="2" t="str">
        <f t="shared" si="84"/>
        <v>SG</v>
      </c>
      <c r="C1840" s="4" t="s">
        <v>1213</v>
      </c>
      <c r="D1840" s="4" t="s">
        <v>0</v>
      </c>
      <c r="E1840" s="4" t="s">
        <v>12</v>
      </c>
      <c r="F1840" s="2" t="s">
        <v>0</v>
      </c>
      <c r="G1840" s="2" t="str">
        <f t="shared" si="86"/>
        <v>04</v>
      </c>
      <c r="H1840" s="3">
        <v>785</v>
      </c>
    </row>
    <row r="1841" spans="1:8" ht="29.25" x14ac:dyDescent="0.25">
      <c r="A1841" s="2" t="str">
        <f>"00049560"</f>
        <v>00049560</v>
      </c>
      <c r="B1841" s="2" t="str">
        <f t="shared" si="84"/>
        <v>SG</v>
      </c>
      <c r="C1841" s="4" t="s">
        <v>1214</v>
      </c>
      <c r="D1841" s="4" t="s">
        <v>0</v>
      </c>
      <c r="E1841" s="4" t="s">
        <v>1215</v>
      </c>
      <c r="F1841" s="2" t="s">
        <v>0</v>
      </c>
      <c r="G1841" s="2" t="str">
        <f t="shared" si="86"/>
        <v>04</v>
      </c>
      <c r="H1841" s="2" t="s">
        <v>16</v>
      </c>
    </row>
    <row r="1842" spans="1:8" ht="29.25" x14ac:dyDescent="0.25">
      <c r="A1842" s="2" t="str">
        <f>"00049561"</f>
        <v>00049561</v>
      </c>
      <c r="B1842" s="2" t="str">
        <f t="shared" si="84"/>
        <v>SG</v>
      </c>
      <c r="C1842" s="4" t="s">
        <v>1216</v>
      </c>
      <c r="D1842" s="4" t="s">
        <v>0</v>
      </c>
      <c r="E1842" s="4" t="s">
        <v>1215</v>
      </c>
      <c r="F1842" s="2" t="s">
        <v>0</v>
      </c>
      <c r="G1842" s="2" t="str">
        <f t="shared" si="86"/>
        <v>04</v>
      </c>
      <c r="H1842" s="2" t="s">
        <v>16</v>
      </c>
    </row>
    <row r="1843" spans="1:8" ht="29.25" x14ac:dyDescent="0.25">
      <c r="A1843" s="2" t="str">
        <f>"00049565"</f>
        <v>00049565</v>
      </c>
      <c r="B1843" s="2" t="str">
        <f t="shared" si="84"/>
        <v>SG</v>
      </c>
      <c r="C1843" s="4" t="s">
        <v>1217</v>
      </c>
      <c r="D1843" s="4" t="s">
        <v>0</v>
      </c>
      <c r="E1843" s="4" t="s">
        <v>1215</v>
      </c>
      <c r="F1843" s="2" t="s">
        <v>0</v>
      </c>
      <c r="G1843" s="2" t="str">
        <f t="shared" si="86"/>
        <v>04</v>
      </c>
      <c r="H1843" s="2" t="s">
        <v>16</v>
      </c>
    </row>
    <row r="1844" spans="1:8" ht="29.25" x14ac:dyDescent="0.25">
      <c r="A1844" s="2" t="str">
        <f>"00049566"</f>
        <v>00049566</v>
      </c>
      <c r="B1844" s="2" t="str">
        <f t="shared" si="84"/>
        <v>SG</v>
      </c>
      <c r="C1844" s="4" t="s">
        <v>1218</v>
      </c>
      <c r="D1844" s="4" t="s">
        <v>0</v>
      </c>
      <c r="E1844" s="4" t="s">
        <v>1215</v>
      </c>
      <c r="F1844" s="2" t="s">
        <v>0</v>
      </c>
      <c r="G1844" s="2" t="str">
        <f t="shared" si="86"/>
        <v>04</v>
      </c>
      <c r="H1844" s="2" t="s">
        <v>16</v>
      </c>
    </row>
    <row r="1845" spans="1:8" x14ac:dyDescent="0.25">
      <c r="A1845" s="2" t="str">
        <f>"00049568"</f>
        <v>00049568</v>
      </c>
      <c r="B1845" s="2" t="str">
        <f t="shared" si="84"/>
        <v>SG</v>
      </c>
      <c r="C1845" s="4" t="s">
        <v>1219</v>
      </c>
      <c r="D1845" s="4" t="s">
        <v>0</v>
      </c>
      <c r="E1845" s="4" t="s">
        <v>1215</v>
      </c>
      <c r="F1845" s="2" t="s">
        <v>0</v>
      </c>
      <c r="G1845" s="2" t="str">
        <f>"07"</f>
        <v>07</v>
      </c>
      <c r="H1845" s="2" t="s">
        <v>16</v>
      </c>
    </row>
    <row r="1846" spans="1:8" ht="29.25" x14ac:dyDescent="0.25">
      <c r="A1846" s="2" t="str">
        <f>"00049570"</f>
        <v>00049570</v>
      </c>
      <c r="B1846" s="2" t="str">
        <f t="shared" si="84"/>
        <v>SG</v>
      </c>
      <c r="C1846" s="4" t="s">
        <v>1220</v>
      </c>
      <c r="D1846" s="4" t="s">
        <v>0</v>
      </c>
      <c r="E1846" s="4" t="s">
        <v>1215</v>
      </c>
      <c r="F1846" s="2" t="s">
        <v>0</v>
      </c>
      <c r="G1846" s="2" t="str">
        <f t="shared" ref="G1846:G1852" si="87">"04"</f>
        <v>04</v>
      </c>
      <c r="H1846" s="2" t="s">
        <v>16</v>
      </c>
    </row>
    <row r="1847" spans="1:8" ht="29.25" x14ac:dyDescent="0.25">
      <c r="A1847" s="2" t="str">
        <f>"00049572"</f>
        <v>00049572</v>
      </c>
      <c r="B1847" s="2" t="str">
        <f t="shared" si="84"/>
        <v>SG</v>
      </c>
      <c r="C1847" s="4" t="s">
        <v>1221</v>
      </c>
      <c r="D1847" s="4" t="s">
        <v>0</v>
      </c>
      <c r="E1847" s="4" t="s">
        <v>1215</v>
      </c>
      <c r="F1847" s="2" t="s">
        <v>0</v>
      </c>
      <c r="G1847" s="2" t="str">
        <f t="shared" si="87"/>
        <v>04</v>
      </c>
      <c r="H1847" s="2" t="s">
        <v>16</v>
      </c>
    </row>
    <row r="1848" spans="1:8" ht="29.25" x14ac:dyDescent="0.25">
      <c r="A1848" s="2" t="str">
        <f>"00049580"</f>
        <v>00049580</v>
      </c>
      <c r="B1848" s="2" t="str">
        <f t="shared" si="84"/>
        <v>SG</v>
      </c>
      <c r="C1848" s="4" t="s">
        <v>1222</v>
      </c>
      <c r="D1848" s="4" t="s">
        <v>0</v>
      </c>
      <c r="E1848" s="4" t="s">
        <v>1215</v>
      </c>
      <c r="F1848" s="2" t="s">
        <v>0</v>
      </c>
      <c r="G1848" s="2" t="str">
        <f t="shared" si="87"/>
        <v>04</v>
      </c>
      <c r="H1848" s="2" t="s">
        <v>16</v>
      </c>
    </row>
    <row r="1849" spans="1:8" ht="29.25" x14ac:dyDescent="0.25">
      <c r="A1849" s="2" t="str">
        <f>"00049582"</f>
        <v>00049582</v>
      </c>
      <c r="B1849" s="2" t="str">
        <f t="shared" si="84"/>
        <v>SG</v>
      </c>
      <c r="C1849" s="4" t="s">
        <v>1223</v>
      </c>
      <c r="D1849" s="4" t="s">
        <v>0</v>
      </c>
      <c r="E1849" s="4" t="s">
        <v>1215</v>
      </c>
      <c r="F1849" s="2" t="s">
        <v>0</v>
      </c>
      <c r="G1849" s="2" t="str">
        <f t="shared" si="87"/>
        <v>04</v>
      </c>
      <c r="H1849" s="2" t="s">
        <v>16</v>
      </c>
    </row>
    <row r="1850" spans="1:8" ht="29.25" x14ac:dyDescent="0.25">
      <c r="A1850" s="2" t="str">
        <f>"00049585"</f>
        <v>00049585</v>
      </c>
      <c r="B1850" s="2" t="str">
        <f t="shared" si="84"/>
        <v>SG</v>
      </c>
      <c r="C1850" s="4" t="s">
        <v>1224</v>
      </c>
      <c r="D1850" s="4" t="s">
        <v>0</v>
      </c>
      <c r="E1850" s="4" t="s">
        <v>1215</v>
      </c>
      <c r="F1850" s="2" t="s">
        <v>0</v>
      </c>
      <c r="G1850" s="2" t="str">
        <f t="shared" si="87"/>
        <v>04</v>
      </c>
      <c r="H1850" s="2" t="s">
        <v>16</v>
      </c>
    </row>
    <row r="1851" spans="1:8" ht="29.25" x14ac:dyDescent="0.25">
      <c r="A1851" s="2" t="str">
        <f>"00049587"</f>
        <v>00049587</v>
      </c>
      <c r="B1851" s="2" t="str">
        <f t="shared" si="84"/>
        <v>SG</v>
      </c>
      <c r="C1851" s="4" t="s">
        <v>1225</v>
      </c>
      <c r="D1851" s="4" t="s">
        <v>0</v>
      </c>
      <c r="E1851" s="4" t="s">
        <v>1215</v>
      </c>
      <c r="F1851" s="2" t="s">
        <v>0</v>
      </c>
      <c r="G1851" s="2" t="str">
        <f t="shared" si="87"/>
        <v>04</v>
      </c>
      <c r="H1851" s="2" t="s">
        <v>16</v>
      </c>
    </row>
    <row r="1852" spans="1:8" x14ac:dyDescent="0.25">
      <c r="A1852" s="2" t="str">
        <f>"00049590"</f>
        <v>00049590</v>
      </c>
      <c r="B1852" s="2" t="str">
        <f t="shared" si="84"/>
        <v>SG</v>
      </c>
      <c r="C1852" s="4" t="s">
        <v>1226</v>
      </c>
      <c r="D1852" s="4" t="s">
        <v>0</v>
      </c>
      <c r="E1852" s="4" t="s">
        <v>1215</v>
      </c>
      <c r="F1852" s="2" t="s">
        <v>0</v>
      </c>
      <c r="G1852" s="2" t="str">
        <f t="shared" si="87"/>
        <v>04</v>
      </c>
      <c r="H1852" s="2" t="s">
        <v>16</v>
      </c>
    </row>
    <row r="1853" spans="1:8" ht="29.25" x14ac:dyDescent="0.25">
      <c r="A1853" s="2" t="str">
        <f>"00049591"</f>
        <v>00049591</v>
      </c>
      <c r="B1853" s="2" t="str">
        <f t="shared" si="84"/>
        <v>SG</v>
      </c>
      <c r="C1853" s="4" t="s">
        <v>1227</v>
      </c>
      <c r="D1853" s="4" t="s">
        <v>0</v>
      </c>
      <c r="E1853" s="4" t="s">
        <v>12</v>
      </c>
      <c r="F1853" s="2" t="s">
        <v>0</v>
      </c>
      <c r="G1853" s="2" t="str">
        <f t="shared" ref="G1853:G1858" si="88">"09"</f>
        <v>09</v>
      </c>
      <c r="H1853" s="3">
        <v>1662</v>
      </c>
    </row>
    <row r="1854" spans="1:8" ht="29.25" x14ac:dyDescent="0.25">
      <c r="A1854" s="2" t="str">
        <f>"00049592"</f>
        <v>00049592</v>
      </c>
      <c r="B1854" s="2" t="str">
        <f t="shared" si="84"/>
        <v>SG</v>
      </c>
      <c r="C1854" s="4" t="s">
        <v>1228</v>
      </c>
      <c r="D1854" s="4" t="s">
        <v>0</v>
      </c>
      <c r="E1854" s="4" t="s">
        <v>12</v>
      </c>
      <c r="F1854" s="2" t="s">
        <v>0</v>
      </c>
      <c r="G1854" s="2" t="str">
        <f t="shared" si="88"/>
        <v>09</v>
      </c>
      <c r="H1854" s="3">
        <v>1662</v>
      </c>
    </row>
    <row r="1855" spans="1:8" x14ac:dyDescent="0.25">
      <c r="A1855" s="2" t="str">
        <f>"00049593"</f>
        <v>00049593</v>
      </c>
      <c r="B1855" s="2" t="str">
        <f t="shared" si="84"/>
        <v>SG</v>
      </c>
      <c r="C1855" s="4" t="s">
        <v>1229</v>
      </c>
      <c r="D1855" s="4" t="s">
        <v>0</v>
      </c>
      <c r="E1855" s="4" t="s">
        <v>12</v>
      </c>
      <c r="F1855" s="2" t="s">
        <v>0</v>
      </c>
      <c r="G1855" s="2" t="str">
        <f t="shared" si="88"/>
        <v>09</v>
      </c>
      <c r="H1855" s="3">
        <v>1662</v>
      </c>
    </row>
    <row r="1856" spans="1:8" ht="29.25" x14ac:dyDescent="0.25">
      <c r="A1856" s="2" t="str">
        <f>"00049594"</f>
        <v>00049594</v>
      </c>
      <c r="B1856" s="2" t="str">
        <f t="shared" si="84"/>
        <v>SG</v>
      </c>
      <c r="C1856" s="4" t="s">
        <v>1230</v>
      </c>
      <c r="D1856" s="4" t="s">
        <v>0</v>
      </c>
      <c r="E1856" s="4" t="s">
        <v>12</v>
      </c>
      <c r="F1856" s="2" t="s">
        <v>0</v>
      </c>
      <c r="G1856" s="2" t="str">
        <f t="shared" si="88"/>
        <v>09</v>
      </c>
      <c r="H1856" s="3">
        <v>1662</v>
      </c>
    </row>
    <row r="1857" spans="1:8" x14ac:dyDescent="0.25">
      <c r="A1857" s="2" t="str">
        <f>"00049595"</f>
        <v>00049595</v>
      </c>
      <c r="B1857" s="2" t="str">
        <f t="shared" si="84"/>
        <v>SG</v>
      </c>
      <c r="C1857" s="4" t="s">
        <v>1231</v>
      </c>
      <c r="D1857" s="4" t="s">
        <v>0</v>
      </c>
      <c r="E1857" s="4" t="s">
        <v>12</v>
      </c>
      <c r="F1857" s="2" t="s">
        <v>0</v>
      </c>
      <c r="G1857" s="2" t="str">
        <f t="shared" si="88"/>
        <v>09</v>
      </c>
      <c r="H1857" s="3">
        <v>1662</v>
      </c>
    </row>
    <row r="1858" spans="1:8" ht="29.25" x14ac:dyDescent="0.25">
      <c r="A1858" s="2" t="str">
        <f>"00049596"</f>
        <v>00049596</v>
      </c>
      <c r="B1858" s="2" t="str">
        <f t="shared" si="84"/>
        <v>SG</v>
      </c>
      <c r="C1858" s="4" t="s">
        <v>1232</v>
      </c>
      <c r="D1858" s="4" t="s">
        <v>0</v>
      </c>
      <c r="E1858" s="4" t="s">
        <v>12</v>
      </c>
      <c r="F1858" s="2" t="s">
        <v>0</v>
      </c>
      <c r="G1858" s="2" t="str">
        <f t="shared" si="88"/>
        <v>09</v>
      </c>
      <c r="H1858" s="3">
        <v>1662</v>
      </c>
    </row>
    <row r="1859" spans="1:8" x14ac:dyDescent="0.25">
      <c r="A1859" s="2" t="str">
        <f>"00049600"</f>
        <v>00049600</v>
      </c>
      <c r="B1859" s="2" t="str">
        <f t="shared" si="84"/>
        <v>SG</v>
      </c>
      <c r="C1859" s="4" t="s">
        <v>1233</v>
      </c>
      <c r="D1859" s="4" t="s">
        <v>0</v>
      </c>
      <c r="E1859" s="4" t="s">
        <v>12</v>
      </c>
      <c r="F1859" s="2" t="s">
        <v>0</v>
      </c>
      <c r="G1859" s="2" t="str">
        <f>"04"</f>
        <v>04</v>
      </c>
      <c r="H1859" s="3">
        <v>785</v>
      </c>
    </row>
    <row r="1860" spans="1:8" x14ac:dyDescent="0.25">
      <c r="A1860" s="2" t="str">
        <f>"00049613"</f>
        <v>00049613</v>
      </c>
      <c r="B1860" s="2" t="str">
        <f t="shared" si="84"/>
        <v>SG</v>
      </c>
      <c r="C1860" s="4" t="s">
        <v>1234</v>
      </c>
      <c r="D1860" s="4" t="s">
        <v>0</v>
      </c>
      <c r="E1860" s="4" t="s">
        <v>12</v>
      </c>
      <c r="F1860" s="2" t="s">
        <v>0</v>
      </c>
      <c r="G1860" s="2" t="str">
        <f t="shared" ref="G1860:G1865" si="89">"09"</f>
        <v>09</v>
      </c>
      <c r="H1860" s="3">
        <v>1662</v>
      </c>
    </row>
    <row r="1861" spans="1:8" ht="29.25" x14ac:dyDescent="0.25">
      <c r="A1861" s="2" t="str">
        <f>"00049614"</f>
        <v>00049614</v>
      </c>
      <c r="B1861" s="2" t="str">
        <f t="shared" si="84"/>
        <v>SG</v>
      </c>
      <c r="C1861" s="4" t="s">
        <v>1235</v>
      </c>
      <c r="D1861" s="4" t="s">
        <v>0</v>
      </c>
      <c r="E1861" s="4" t="s">
        <v>12</v>
      </c>
      <c r="F1861" s="2" t="s">
        <v>0</v>
      </c>
      <c r="G1861" s="2" t="str">
        <f t="shared" si="89"/>
        <v>09</v>
      </c>
      <c r="H1861" s="3">
        <v>1662</v>
      </c>
    </row>
    <row r="1862" spans="1:8" x14ac:dyDescent="0.25">
      <c r="A1862" s="2" t="str">
        <f>"00049615"</f>
        <v>00049615</v>
      </c>
      <c r="B1862" s="2" t="str">
        <f t="shared" si="84"/>
        <v>SG</v>
      </c>
      <c r="C1862" s="4" t="s">
        <v>1236</v>
      </c>
      <c r="D1862" s="4" t="s">
        <v>0</v>
      </c>
      <c r="E1862" s="4" t="s">
        <v>12</v>
      </c>
      <c r="F1862" s="2" t="s">
        <v>0</v>
      </c>
      <c r="G1862" s="2" t="str">
        <f t="shared" si="89"/>
        <v>09</v>
      </c>
      <c r="H1862" s="3">
        <v>1662</v>
      </c>
    </row>
    <row r="1863" spans="1:8" ht="29.25" x14ac:dyDescent="0.25">
      <c r="A1863" s="2" t="str">
        <f>"00049616"</f>
        <v>00049616</v>
      </c>
      <c r="B1863" s="2" t="str">
        <f t="shared" si="84"/>
        <v>SG</v>
      </c>
      <c r="C1863" s="4" t="s">
        <v>1237</v>
      </c>
      <c r="D1863" s="4" t="s">
        <v>0</v>
      </c>
      <c r="E1863" s="4" t="s">
        <v>12</v>
      </c>
      <c r="F1863" s="2" t="s">
        <v>0</v>
      </c>
      <c r="G1863" s="2" t="str">
        <f t="shared" si="89"/>
        <v>09</v>
      </c>
      <c r="H1863" s="3">
        <v>1662</v>
      </c>
    </row>
    <row r="1864" spans="1:8" x14ac:dyDescent="0.25">
      <c r="A1864" s="2" t="str">
        <f>"00049617"</f>
        <v>00049617</v>
      </c>
      <c r="B1864" s="2" t="str">
        <f t="shared" si="84"/>
        <v>SG</v>
      </c>
      <c r="C1864" s="4" t="s">
        <v>1238</v>
      </c>
      <c r="D1864" s="4" t="s">
        <v>0</v>
      </c>
      <c r="E1864" s="4" t="s">
        <v>12</v>
      </c>
      <c r="F1864" s="2" t="s">
        <v>0</v>
      </c>
      <c r="G1864" s="2" t="str">
        <f t="shared" si="89"/>
        <v>09</v>
      </c>
      <c r="H1864" s="3">
        <v>1662</v>
      </c>
    </row>
    <row r="1865" spans="1:8" ht="29.25" x14ac:dyDescent="0.25">
      <c r="A1865" s="2" t="str">
        <f>"00049618"</f>
        <v>00049618</v>
      </c>
      <c r="B1865" s="2" t="str">
        <f t="shared" si="84"/>
        <v>SG</v>
      </c>
      <c r="C1865" s="4" t="s">
        <v>1239</v>
      </c>
      <c r="D1865" s="4" t="s">
        <v>0</v>
      </c>
      <c r="E1865" s="4" t="s">
        <v>12</v>
      </c>
      <c r="F1865" s="2" t="s">
        <v>0</v>
      </c>
      <c r="G1865" s="2" t="str">
        <f t="shared" si="89"/>
        <v>09</v>
      </c>
      <c r="H1865" s="3">
        <v>1662</v>
      </c>
    </row>
    <row r="1866" spans="1:8" ht="29.25" x14ac:dyDescent="0.25">
      <c r="A1866" s="2" t="str">
        <f>"00049650"</f>
        <v>00049650</v>
      </c>
      <c r="B1866" s="2" t="str">
        <f t="shared" si="84"/>
        <v>SG</v>
      </c>
      <c r="C1866" s="4" t="s">
        <v>1240</v>
      </c>
      <c r="D1866" s="4" t="s">
        <v>0</v>
      </c>
      <c r="E1866" s="4" t="s">
        <v>12</v>
      </c>
      <c r="F1866" s="2" t="s">
        <v>0</v>
      </c>
      <c r="G1866" s="2" t="str">
        <f>"07"</f>
        <v>07</v>
      </c>
      <c r="H1866" s="3">
        <v>1233</v>
      </c>
    </row>
    <row r="1867" spans="1:8" ht="29.25" x14ac:dyDescent="0.25">
      <c r="A1867" s="2" t="str">
        <f>"00049651"</f>
        <v>00049651</v>
      </c>
      <c r="B1867" s="2" t="str">
        <f t="shared" si="84"/>
        <v>SG</v>
      </c>
      <c r="C1867" s="4" t="s">
        <v>1241</v>
      </c>
      <c r="D1867" s="4" t="s">
        <v>0</v>
      </c>
      <c r="E1867" s="4" t="s">
        <v>12</v>
      </c>
      <c r="F1867" s="2" t="s">
        <v>0</v>
      </c>
      <c r="G1867" s="2" t="str">
        <f>"07"</f>
        <v>07</v>
      </c>
      <c r="H1867" s="3">
        <v>1233</v>
      </c>
    </row>
    <row r="1868" spans="1:8" ht="43.5" x14ac:dyDescent="0.25">
      <c r="A1868" s="2" t="str">
        <f>"00049652"</f>
        <v>00049652</v>
      </c>
      <c r="B1868" s="2" t="str">
        <f t="shared" si="84"/>
        <v>SG</v>
      </c>
      <c r="C1868" s="4" t="s">
        <v>1242</v>
      </c>
      <c r="D1868" s="4" t="s">
        <v>0</v>
      </c>
      <c r="E1868" s="4" t="s">
        <v>1215</v>
      </c>
      <c r="F1868" s="2" t="s">
        <v>0</v>
      </c>
      <c r="G1868" s="2" t="str">
        <f t="shared" ref="G1868:G1873" si="90">"09"</f>
        <v>09</v>
      </c>
      <c r="H1868" s="2" t="s">
        <v>16</v>
      </c>
    </row>
    <row r="1869" spans="1:8" ht="29.25" x14ac:dyDescent="0.25">
      <c r="A1869" s="2" t="str">
        <f>"00049653"</f>
        <v>00049653</v>
      </c>
      <c r="B1869" s="2" t="str">
        <f t="shared" ref="B1869:B1932" si="91">"SG"</f>
        <v>SG</v>
      </c>
      <c r="C1869" s="4" t="s">
        <v>1243</v>
      </c>
      <c r="D1869" s="4" t="s">
        <v>0</v>
      </c>
      <c r="E1869" s="4" t="s">
        <v>1215</v>
      </c>
      <c r="F1869" s="2" t="s">
        <v>0</v>
      </c>
      <c r="G1869" s="2" t="str">
        <f t="shared" si="90"/>
        <v>09</v>
      </c>
      <c r="H1869" s="2" t="s">
        <v>16</v>
      </c>
    </row>
    <row r="1870" spans="1:8" ht="29.25" x14ac:dyDescent="0.25">
      <c r="A1870" s="2" t="str">
        <f>"00049654"</f>
        <v>00049654</v>
      </c>
      <c r="B1870" s="2" t="str">
        <f t="shared" si="91"/>
        <v>SG</v>
      </c>
      <c r="C1870" s="4" t="s">
        <v>1244</v>
      </c>
      <c r="D1870" s="4" t="s">
        <v>0</v>
      </c>
      <c r="E1870" s="4" t="s">
        <v>1215</v>
      </c>
      <c r="F1870" s="2" t="s">
        <v>0</v>
      </c>
      <c r="G1870" s="2" t="str">
        <f t="shared" si="90"/>
        <v>09</v>
      </c>
      <c r="H1870" s="2" t="s">
        <v>16</v>
      </c>
    </row>
    <row r="1871" spans="1:8" ht="29.25" x14ac:dyDescent="0.25">
      <c r="A1871" s="2" t="str">
        <f>"00049655"</f>
        <v>00049655</v>
      </c>
      <c r="B1871" s="2" t="str">
        <f t="shared" si="91"/>
        <v>SG</v>
      </c>
      <c r="C1871" s="4" t="s">
        <v>1245</v>
      </c>
      <c r="D1871" s="4" t="s">
        <v>0</v>
      </c>
      <c r="E1871" s="4" t="s">
        <v>1215</v>
      </c>
      <c r="F1871" s="2" t="s">
        <v>0</v>
      </c>
      <c r="G1871" s="2" t="str">
        <f t="shared" si="90"/>
        <v>09</v>
      </c>
      <c r="H1871" s="2" t="s">
        <v>16</v>
      </c>
    </row>
    <row r="1872" spans="1:8" ht="29.25" x14ac:dyDescent="0.25">
      <c r="A1872" s="2" t="str">
        <f>"00049656"</f>
        <v>00049656</v>
      </c>
      <c r="B1872" s="2" t="str">
        <f t="shared" si="91"/>
        <v>SG</v>
      </c>
      <c r="C1872" s="4" t="s">
        <v>1246</v>
      </c>
      <c r="D1872" s="4" t="s">
        <v>0</v>
      </c>
      <c r="E1872" s="4" t="s">
        <v>1215</v>
      </c>
      <c r="F1872" s="2" t="s">
        <v>0</v>
      </c>
      <c r="G1872" s="2" t="str">
        <f t="shared" si="90"/>
        <v>09</v>
      </c>
      <c r="H1872" s="2" t="s">
        <v>16</v>
      </c>
    </row>
    <row r="1873" spans="1:8" ht="29.25" x14ac:dyDescent="0.25">
      <c r="A1873" s="2" t="str">
        <f>"00049657"</f>
        <v>00049657</v>
      </c>
      <c r="B1873" s="2" t="str">
        <f t="shared" si="91"/>
        <v>SG</v>
      </c>
      <c r="C1873" s="4" t="s">
        <v>1247</v>
      </c>
      <c r="D1873" s="4" t="s">
        <v>0</v>
      </c>
      <c r="E1873" s="4" t="s">
        <v>1215</v>
      </c>
      <c r="F1873" s="2" t="s">
        <v>0</v>
      </c>
      <c r="G1873" s="2" t="str">
        <f t="shared" si="90"/>
        <v>09</v>
      </c>
      <c r="H1873" s="2" t="s">
        <v>16</v>
      </c>
    </row>
    <row r="1874" spans="1:8" x14ac:dyDescent="0.25">
      <c r="A1874" s="2" t="str">
        <f>"00050200"</f>
        <v>00050200</v>
      </c>
      <c r="B1874" s="2" t="str">
        <f t="shared" si="91"/>
        <v>SG</v>
      </c>
      <c r="C1874" s="4" t="s">
        <v>1248</v>
      </c>
      <c r="D1874" s="4" t="s">
        <v>0</v>
      </c>
      <c r="E1874" s="4" t="s">
        <v>12</v>
      </c>
      <c r="F1874" s="2" t="s">
        <v>0</v>
      </c>
      <c r="G1874" s="2" t="str">
        <f>"01"</f>
        <v>01</v>
      </c>
      <c r="H1874" s="3">
        <v>413</v>
      </c>
    </row>
    <row r="1875" spans="1:8" ht="29.25" x14ac:dyDescent="0.25">
      <c r="A1875" s="2" t="str">
        <f>"00050390"</f>
        <v>00050390</v>
      </c>
      <c r="B1875" s="2" t="str">
        <f t="shared" si="91"/>
        <v>SG</v>
      </c>
      <c r="C1875" s="4" t="s">
        <v>1249</v>
      </c>
      <c r="D1875" s="4" t="s">
        <v>0</v>
      </c>
      <c r="E1875" s="4" t="s">
        <v>12</v>
      </c>
      <c r="F1875" s="2" t="s">
        <v>0</v>
      </c>
      <c r="G1875" s="2" t="str">
        <f>"01"</f>
        <v>01</v>
      </c>
      <c r="H1875" s="3">
        <v>413</v>
      </c>
    </row>
    <row r="1876" spans="1:8" ht="29.25" x14ac:dyDescent="0.25">
      <c r="A1876" s="2" t="str">
        <f>"00050396"</f>
        <v>00050396</v>
      </c>
      <c r="B1876" s="2" t="str">
        <f t="shared" si="91"/>
        <v>SG</v>
      </c>
      <c r="C1876" s="4" t="s">
        <v>1250</v>
      </c>
      <c r="D1876" s="4" t="s">
        <v>0</v>
      </c>
      <c r="E1876" s="4" t="s">
        <v>12</v>
      </c>
      <c r="F1876" s="2" t="s">
        <v>0</v>
      </c>
      <c r="G1876" s="2" t="str">
        <f>"01"</f>
        <v>01</v>
      </c>
      <c r="H1876" s="3">
        <v>413</v>
      </c>
    </row>
    <row r="1877" spans="1:8" ht="100.5" x14ac:dyDescent="0.25">
      <c r="A1877" s="2" t="str">
        <f>"00050432"</f>
        <v>00050432</v>
      </c>
      <c r="B1877" s="2" t="str">
        <f t="shared" si="91"/>
        <v>SG</v>
      </c>
      <c r="C1877" s="4" t="s">
        <v>1251</v>
      </c>
      <c r="D1877" s="4" t="s">
        <v>0</v>
      </c>
      <c r="E1877" s="4" t="s">
        <v>12</v>
      </c>
      <c r="F1877" s="2" t="s">
        <v>0</v>
      </c>
      <c r="G1877" s="2" t="str">
        <f>"01"</f>
        <v>01</v>
      </c>
      <c r="H1877" s="3">
        <v>413</v>
      </c>
    </row>
    <row r="1878" spans="1:8" ht="100.5" x14ac:dyDescent="0.25">
      <c r="A1878" s="2" t="str">
        <f>"00050435"</f>
        <v>00050435</v>
      </c>
      <c r="B1878" s="2" t="str">
        <f t="shared" si="91"/>
        <v>SG</v>
      </c>
      <c r="C1878" s="4" t="s">
        <v>1252</v>
      </c>
      <c r="D1878" s="4" t="s">
        <v>0</v>
      </c>
      <c r="E1878" s="4" t="s">
        <v>12</v>
      </c>
      <c r="F1878" s="2" t="s">
        <v>0</v>
      </c>
      <c r="G1878" s="2" t="str">
        <f>"02"</f>
        <v>02</v>
      </c>
      <c r="H1878" s="3">
        <v>552</v>
      </c>
    </row>
    <row r="1879" spans="1:8" ht="72" x14ac:dyDescent="0.25">
      <c r="A1879" s="2" t="str">
        <f>"00050436"</f>
        <v>00050436</v>
      </c>
      <c r="B1879" s="2" t="str">
        <f t="shared" si="91"/>
        <v>SG</v>
      </c>
      <c r="C1879" s="4" t="s">
        <v>1253</v>
      </c>
      <c r="D1879" s="4" t="s">
        <v>0</v>
      </c>
      <c r="E1879" s="4" t="s">
        <v>12</v>
      </c>
      <c r="F1879" s="2" t="s">
        <v>0</v>
      </c>
      <c r="G1879" s="2" t="str">
        <f>"02"</f>
        <v>02</v>
      </c>
      <c r="H1879" s="3">
        <v>552</v>
      </c>
    </row>
    <row r="1880" spans="1:8" ht="114.75" x14ac:dyDescent="0.25">
      <c r="A1880" s="2" t="str">
        <f>"00050437"</f>
        <v>00050437</v>
      </c>
      <c r="B1880" s="2" t="str">
        <f t="shared" si="91"/>
        <v>SG</v>
      </c>
      <c r="C1880" s="4" t="s">
        <v>1254</v>
      </c>
      <c r="D1880" s="4" t="s">
        <v>0</v>
      </c>
      <c r="E1880" s="4" t="s">
        <v>12</v>
      </c>
      <c r="F1880" s="2" t="s">
        <v>0</v>
      </c>
      <c r="G1880" s="2" t="str">
        <f>"05"</f>
        <v>05</v>
      </c>
      <c r="H1880" s="3">
        <v>891</v>
      </c>
    </row>
    <row r="1881" spans="1:8" x14ac:dyDescent="0.25">
      <c r="A1881" s="2" t="str">
        <f>"00050551"</f>
        <v>00050551</v>
      </c>
      <c r="B1881" s="2" t="str">
        <f t="shared" si="91"/>
        <v>SG</v>
      </c>
      <c r="C1881" s="4" t="s">
        <v>1255</v>
      </c>
      <c r="D1881" s="4" t="s">
        <v>0</v>
      </c>
      <c r="E1881" s="4" t="s">
        <v>12</v>
      </c>
      <c r="F1881" s="2" t="s">
        <v>0</v>
      </c>
      <c r="G1881" s="2" t="str">
        <f>"01"</f>
        <v>01</v>
      </c>
      <c r="H1881" s="3">
        <v>413</v>
      </c>
    </row>
    <row r="1882" spans="1:8" x14ac:dyDescent="0.25">
      <c r="A1882" s="2" t="str">
        <f>"00050553"</f>
        <v>00050553</v>
      </c>
      <c r="B1882" s="2" t="str">
        <f t="shared" si="91"/>
        <v>SG</v>
      </c>
      <c r="C1882" s="4" t="s">
        <v>1255</v>
      </c>
      <c r="D1882" s="4" t="s">
        <v>0</v>
      </c>
      <c r="E1882" s="4" t="s">
        <v>12</v>
      </c>
      <c r="F1882" s="2" t="s">
        <v>0</v>
      </c>
      <c r="G1882" s="2" t="str">
        <f>"03"</f>
        <v>03</v>
      </c>
      <c r="H1882" s="3">
        <v>637</v>
      </c>
    </row>
    <row r="1883" spans="1:8" ht="29.25" x14ac:dyDescent="0.25">
      <c r="A1883" s="2" t="str">
        <f>"00050555"</f>
        <v>00050555</v>
      </c>
      <c r="B1883" s="2" t="str">
        <f t="shared" si="91"/>
        <v>SG</v>
      </c>
      <c r="C1883" s="4" t="s">
        <v>1256</v>
      </c>
      <c r="D1883" s="4" t="s">
        <v>0</v>
      </c>
      <c r="E1883" s="4" t="s">
        <v>12</v>
      </c>
      <c r="F1883" s="2" t="s">
        <v>0</v>
      </c>
      <c r="G1883" s="2" t="str">
        <f>"01"</f>
        <v>01</v>
      </c>
      <c r="H1883" s="3">
        <v>413</v>
      </c>
    </row>
    <row r="1884" spans="1:8" ht="29.25" x14ac:dyDescent="0.25">
      <c r="A1884" s="2" t="str">
        <f>"00050557"</f>
        <v>00050557</v>
      </c>
      <c r="B1884" s="2" t="str">
        <f t="shared" si="91"/>
        <v>SG</v>
      </c>
      <c r="C1884" s="4" t="s">
        <v>1257</v>
      </c>
      <c r="D1884" s="4" t="s">
        <v>0</v>
      </c>
      <c r="E1884" s="4" t="s">
        <v>12</v>
      </c>
      <c r="F1884" s="2" t="s">
        <v>0</v>
      </c>
      <c r="G1884" s="2" t="str">
        <f>"03"</f>
        <v>03</v>
      </c>
      <c r="H1884" s="3">
        <v>637</v>
      </c>
    </row>
    <row r="1885" spans="1:8" ht="29.25" x14ac:dyDescent="0.25">
      <c r="A1885" s="2" t="str">
        <f>"00050561"</f>
        <v>00050561</v>
      </c>
      <c r="B1885" s="2" t="str">
        <f t="shared" si="91"/>
        <v>SG</v>
      </c>
      <c r="C1885" s="4" t="s">
        <v>1257</v>
      </c>
      <c r="D1885" s="4" t="s">
        <v>0</v>
      </c>
      <c r="E1885" s="4" t="s">
        <v>12</v>
      </c>
      <c r="F1885" s="2" t="s">
        <v>0</v>
      </c>
      <c r="G1885" s="2" t="str">
        <f>"03"</f>
        <v>03</v>
      </c>
      <c r="H1885" s="3">
        <v>637</v>
      </c>
    </row>
    <row r="1886" spans="1:8" ht="72" x14ac:dyDescent="0.25">
      <c r="A1886" s="2" t="str">
        <f>"00050590"</f>
        <v>00050590</v>
      </c>
      <c r="B1886" s="2" t="str">
        <f t="shared" si="91"/>
        <v>SG</v>
      </c>
      <c r="C1886" s="4" t="s">
        <v>1258</v>
      </c>
      <c r="D1886" s="4" t="s">
        <v>0</v>
      </c>
      <c r="E1886" s="4" t="s">
        <v>12</v>
      </c>
      <c r="F1886" s="2" t="s">
        <v>0</v>
      </c>
      <c r="G1886" s="2" t="str">
        <f>"06"</f>
        <v>06</v>
      </c>
      <c r="H1886" s="3">
        <v>1000</v>
      </c>
    </row>
    <row r="1887" spans="1:8" ht="29.25" x14ac:dyDescent="0.25">
      <c r="A1887" s="2" t="str">
        <f>"00050688"</f>
        <v>00050688</v>
      </c>
      <c r="B1887" s="2" t="str">
        <f t="shared" si="91"/>
        <v>SG</v>
      </c>
      <c r="C1887" s="4" t="s">
        <v>1259</v>
      </c>
      <c r="D1887" s="4" t="s">
        <v>0</v>
      </c>
      <c r="E1887" s="4" t="s">
        <v>12</v>
      </c>
      <c r="F1887" s="2" t="s">
        <v>0</v>
      </c>
      <c r="G1887" s="2" t="str">
        <f>"01"</f>
        <v>01</v>
      </c>
      <c r="H1887" s="3">
        <v>413</v>
      </c>
    </row>
    <row r="1888" spans="1:8" ht="100.5" x14ac:dyDescent="0.25">
      <c r="A1888" s="2" t="str">
        <f>"00050693"</f>
        <v>00050693</v>
      </c>
      <c r="B1888" s="2" t="str">
        <f t="shared" si="91"/>
        <v>SG</v>
      </c>
      <c r="C1888" s="4" t="s">
        <v>1260</v>
      </c>
      <c r="D1888" s="4" t="s">
        <v>0</v>
      </c>
      <c r="E1888" s="4" t="s">
        <v>12</v>
      </c>
      <c r="F1888" s="2" t="s">
        <v>0</v>
      </c>
      <c r="G1888" s="2" t="str">
        <f>"03"</f>
        <v>03</v>
      </c>
      <c r="H1888" s="3">
        <v>637</v>
      </c>
    </row>
    <row r="1889" spans="1:8" ht="100.5" x14ac:dyDescent="0.25">
      <c r="A1889" s="2" t="str">
        <f>"00050694"</f>
        <v>00050694</v>
      </c>
      <c r="B1889" s="2" t="str">
        <f t="shared" si="91"/>
        <v>SG</v>
      </c>
      <c r="C1889" s="4" t="s">
        <v>1261</v>
      </c>
      <c r="D1889" s="4" t="s">
        <v>0</v>
      </c>
      <c r="E1889" s="4" t="s">
        <v>12</v>
      </c>
      <c r="F1889" s="2" t="s">
        <v>0</v>
      </c>
      <c r="G1889" s="2" t="str">
        <f>"03"</f>
        <v>03</v>
      </c>
      <c r="H1889" s="3">
        <v>637</v>
      </c>
    </row>
    <row r="1890" spans="1:8" ht="100.5" x14ac:dyDescent="0.25">
      <c r="A1890" s="2" t="str">
        <f>"00050695"</f>
        <v>00050695</v>
      </c>
      <c r="B1890" s="2" t="str">
        <f t="shared" si="91"/>
        <v>SG</v>
      </c>
      <c r="C1890" s="4" t="s">
        <v>1262</v>
      </c>
      <c r="D1890" s="4" t="s">
        <v>0</v>
      </c>
      <c r="E1890" s="4" t="s">
        <v>12</v>
      </c>
      <c r="F1890" s="2" t="s">
        <v>0</v>
      </c>
      <c r="G1890" s="2" t="str">
        <f>"03"</f>
        <v>03</v>
      </c>
      <c r="H1890" s="3">
        <v>637</v>
      </c>
    </row>
    <row r="1891" spans="1:8" ht="29.25" x14ac:dyDescent="0.25">
      <c r="A1891" s="2" t="str">
        <f>"00050947"</f>
        <v>00050947</v>
      </c>
      <c r="B1891" s="2" t="str">
        <f t="shared" si="91"/>
        <v>SG</v>
      </c>
      <c r="C1891" s="4" t="s">
        <v>1263</v>
      </c>
      <c r="D1891" s="4" t="s">
        <v>0</v>
      </c>
      <c r="E1891" s="4" t="s">
        <v>12</v>
      </c>
      <c r="F1891" s="2" t="s">
        <v>0</v>
      </c>
      <c r="G1891" s="2" t="str">
        <f>"09"</f>
        <v>09</v>
      </c>
      <c r="H1891" s="3">
        <v>1662</v>
      </c>
    </row>
    <row r="1892" spans="1:8" ht="29.25" x14ac:dyDescent="0.25">
      <c r="A1892" s="2" t="str">
        <f>"00050948"</f>
        <v>00050948</v>
      </c>
      <c r="B1892" s="2" t="str">
        <f t="shared" si="91"/>
        <v>SG</v>
      </c>
      <c r="C1892" s="4" t="s">
        <v>1263</v>
      </c>
      <c r="D1892" s="4" t="s">
        <v>0</v>
      </c>
      <c r="E1892" s="4" t="s">
        <v>12</v>
      </c>
      <c r="F1892" s="2" t="s">
        <v>0</v>
      </c>
      <c r="G1892" s="2" t="str">
        <f>"09"</f>
        <v>09</v>
      </c>
      <c r="H1892" s="3">
        <v>1662</v>
      </c>
    </row>
    <row r="1893" spans="1:8" x14ac:dyDescent="0.25">
      <c r="A1893" s="2" t="str">
        <f>"00050951"</f>
        <v>00050951</v>
      </c>
      <c r="B1893" s="2" t="str">
        <f t="shared" si="91"/>
        <v>SG</v>
      </c>
      <c r="C1893" s="4" t="s">
        <v>1264</v>
      </c>
      <c r="D1893" s="4" t="s">
        <v>0</v>
      </c>
      <c r="E1893" s="4" t="s">
        <v>12</v>
      </c>
      <c r="F1893" s="2" t="s">
        <v>0</v>
      </c>
      <c r="G1893" s="2" t="str">
        <f>"01"</f>
        <v>01</v>
      </c>
      <c r="H1893" s="3">
        <v>413</v>
      </c>
    </row>
    <row r="1894" spans="1:8" x14ac:dyDescent="0.25">
      <c r="A1894" s="2" t="str">
        <f>"00050953"</f>
        <v>00050953</v>
      </c>
      <c r="B1894" s="2" t="str">
        <f t="shared" si="91"/>
        <v>SG</v>
      </c>
      <c r="C1894" s="4" t="s">
        <v>1264</v>
      </c>
      <c r="D1894" s="4" t="s">
        <v>0</v>
      </c>
      <c r="E1894" s="4" t="s">
        <v>12</v>
      </c>
      <c r="F1894" s="2" t="s">
        <v>0</v>
      </c>
      <c r="G1894" s="2" t="str">
        <f>"01"</f>
        <v>01</v>
      </c>
      <c r="H1894" s="3">
        <v>413</v>
      </c>
    </row>
    <row r="1895" spans="1:8" ht="29.25" x14ac:dyDescent="0.25">
      <c r="A1895" s="2" t="str">
        <f>"00050955"</f>
        <v>00050955</v>
      </c>
      <c r="B1895" s="2" t="str">
        <f t="shared" si="91"/>
        <v>SG</v>
      </c>
      <c r="C1895" s="4" t="s">
        <v>1265</v>
      </c>
      <c r="D1895" s="4" t="s">
        <v>0</v>
      </c>
      <c r="E1895" s="4" t="s">
        <v>12</v>
      </c>
      <c r="F1895" s="2" t="s">
        <v>0</v>
      </c>
      <c r="G1895" s="2" t="str">
        <f>"03"</f>
        <v>03</v>
      </c>
      <c r="H1895" s="3">
        <v>637</v>
      </c>
    </row>
    <row r="1896" spans="1:8" ht="29.25" x14ac:dyDescent="0.25">
      <c r="A1896" s="2" t="str">
        <f>"00050957"</f>
        <v>00050957</v>
      </c>
      <c r="B1896" s="2" t="str">
        <f t="shared" si="91"/>
        <v>SG</v>
      </c>
      <c r="C1896" s="4" t="s">
        <v>1266</v>
      </c>
      <c r="D1896" s="4" t="s">
        <v>0</v>
      </c>
      <c r="E1896" s="4" t="s">
        <v>12</v>
      </c>
      <c r="F1896" s="2" t="s">
        <v>0</v>
      </c>
      <c r="G1896" s="2" t="str">
        <f>"03"</f>
        <v>03</v>
      </c>
      <c r="H1896" s="3">
        <v>637</v>
      </c>
    </row>
    <row r="1897" spans="1:8" ht="29.25" x14ac:dyDescent="0.25">
      <c r="A1897" s="2" t="str">
        <f>"00050961"</f>
        <v>00050961</v>
      </c>
      <c r="B1897" s="2" t="str">
        <f t="shared" si="91"/>
        <v>SG</v>
      </c>
      <c r="C1897" s="4" t="s">
        <v>1266</v>
      </c>
      <c r="D1897" s="4" t="s">
        <v>0</v>
      </c>
      <c r="E1897" s="4" t="s">
        <v>12</v>
      </c>
      <c r="F1897" s="2" t="s">
        <v>0</v>
      </c>
      <c r="G1897" s="2" t="str">
        <f>"03"</f>
        <v>03</v>
      </c>
      <c r="H1897" s="3">
        <v>637</v>
      </c>
    </row>
    <row r="1898" spans="1:8" x14ac:dyDescent="0.25">
      <c r="A1898" s="2" t="str">
        <f>"00050970"</f>
        <v>00050970</v>
      </c>
      <c r="B1898" s="2" t="str">
        <f t="shared" si="91"/>
        <v>SG</v>
      </c>
      <c r="C1898" s="4" t="s">
        <v>1267</v>
      </c>
      <c r="D1898" s="4" t="s">
        <v>0</v>
      </c>
      <c r="E1898" s="4" t="s">
        <v>12</v>
      </c>
      <c r="F1898" s="2" t="s">
        <v>0</v>
      </c>
      <c r="G1898" s="2" t="str">
        <f>"01"</f>
        <v>01</v>
      </c>
      <c r="H1898" s="3">
        <v>413</v>
      </c>
    </row>
    <row r="1899" spans="1:8" ht="29.25" x14ac:dyDescent="0.25">
      <c r="A1899" s="2" t="str">
        <f>"00050972"</f>
        <v>00050972</v>
      </c>
      <c r="B1899" s="2" t="str">
        <f t="shared" si="91"/>
        <v>SG</v>
      </c>
      <c r="C1899" s="4" t="s">
        <v>1268</v>
      </c>
      <c r="D1899" s="4" t="s">
        <v>0</v>
      </c>
      <c r="E1899" s="4" t="s">
        <v>12</v>
      </c>
      <c r="F1899" s="2" t="s">
        <v>0</v>
      </c>
      <c r="G1899" s="2" t="str">
        <f>"01"</f>
        <v>01</v>
      </c>
      <c r="H1899" s="3">
        <v>413</v>
      </c>
    </row>
    <row r="1900" spans="1:8" ht="29.25" x14ac:dyDescent="0.25">
      <c r="A1900" s="2" t="str">
        <f>"00050974"</f>
        <v>00050974</v>
      </c>
      <c r="B1900" s="2" t="str">
        <f t="shared" si="91"/>
        <v>SG</v>
      </c>
      <c r="C1900" s="4" t="s">
        <v>1265</v>
      </c>
      <c r="D1900" s="4" t="s">
        <v>0</v>
      </c>
      <c r="E1900" s="4" t="s">
        <v>12</v>
      </c>
      <c r="F1900" s="2" t="s">
        <v>0</v>
      </c>
      <c r="G1900" s="2" t="str">
        <f>"01"</f>
        <v>01</v>
      </c>
      <c r="H1900" s="3">
        <v>413</v>
      </c>
    </row>
    <row r="1901" spans="1:8" ht="29.25" x14ac:dyDescent="0.25">
      <c r="A1901" s="2" t="str">
        <f>"00050976"</f>
        <v>00050976</v>
      </c>
      <c r="B1901" s="2" t="str">
        <f t="shared" si="91"/>
        <v>SG</v>
      </c>
      <c r="C1901" s="4" t="s">
        <v>1266</v>
      </c>
      <c r="D1901" s="4" t="s">
        <v>0</v>
      </c>
      <c r="E1901" s="4" t="s">
        <v>12</v>
      </c>
      <c r="F1901" s="2" t="s">
        <v>0</v>
      </c>
      <c r="G1901" s="2" t="str">
        <f>"01"</f>
        <v>01</v>
      </c>
      <c r="H1901" s="3">
        <v>413</v>
      </c>
    </row>
    <row r="1902" spans="1:8" ht="29.25" x14ac:dyDescent="0.25">
      <c r="A1902" s="2" t="str">
        <f>"00050980"</f>
        <v>00050980</v>
      </c>
      <c r="B1902" s="2" t="str">
        <f t="shared" si="91"/>
        <v>SG</v>
      </c>
      <c r="C1902" s="4" t="s">
        <v>1266</v>
      </c>
      <c r="D1902" s="4" t="s">
        <v>0</v>
      </c>
      <c r="E1902" s="4" t="s">
        <v>12</v>
      </c>
      <c r="F1902" s="2" t="s">
        <v>0</v>
      </c>
      <c r="G1902" s="2" t="str">
        <f>"03"</f>
        <v>03</v>
      </c>
      <c r="H1902" s="3">
        <v>637</v>
      </c>
    </row>
    <row r="1903" spans="1:8" x14ac:dyDescent="0.25">
      <c r="A1903" s="2" t="str">
        <f>"00051020"</f>
        <v>00051020</v>
      </c>
      <c r="B1903" s="2" t="str">
        <f t="shared" si="91"/>
        <v>SG</v>
      </c>
      <c r="C1903" s="4" t="s">
        <v>1269</v>
      </c>
      <c r="D1903" s="4" t="s">
        <v>0</v>
      </c>
      <c r="E1903" s="4" t="s">
        <v>12</v>
      </c>
      <c r="F1903" s="2" t="s">
        <v>0</v>
      </c>
      <c r="G1903" s="2" t="str">
        <f>"03"</f>
        <v>03</v>
      </c>
      <c r="H1903" s="3">
        <v>637</v>
      </c>
    </row>
    <row r="1904" spans="1:8" x14ac:dyDescent="0.25">
      <c r="A1904" s="2" t="str">
        <f>"00051030"</f>
        <v>00051030</v>
      </c>
      <c r="B1904" s="2" t="str">
        <f t="shared" si="91"/>
        <v>SG</v>
      </c>
      <c r="C1904" s="4" t="s">
        <v>1269</v>
      </c>
      <c r="D1904" s="4" t="s">
        <v>0</v>
      </c>
      <c r="E1904" s="4" t="s">
        <v>12</v>
      </c>
      <c r="F1904" s="2" t="s">
        <v>0</v>
      </c>
      <c r="G1904" s="2" t="str">
        <f>"03"</f>
        <v>03</v>
      </c>
      <c r="H1904" s="3">
        <v>637</v>
      </c>
    </row>
    <row r="1905" spans="1:8" x14ac:dyDescent="0.25">
      <c r="A1905" s="2" t="str">
        <f>"00051040"</f>
        <v>00051040</v>
      </c>
      <c r="B1905" s="2" t="str">
        <f t="shared" si="91"/>
        <v>SG</v>
      </c>
      <c r="C1905" s="4" t="s">
        <v>1270</v>
      </c>
      <c r="D1905" s="4" t="s">
        <v>0</v>
      </c>
      <c r="E1905" s="4" t="s">
        <v>12</v>
      </c>
      <c r="F1905" s="2" t="s">
        <v>0</v>
      </c>
      <c r="G1905" s="2" t="str">
        <f>"03"</f>
        <v>03</v>
      </c>
      <c r="H1905" s="3">
        <v>637</v>
      </c>
    </row>
    <row r="1906" spans="1:8" ht="29.25" x14ac:dyDescent="0.25">
      <c r="A1906" s="2" t="str">
        <f>"00051045"</f>
        <v>00051045</v>
      </c>
      <c r="B1906" s="2" t="str">
        <f t="shared" si="91"/>
        <v>SG</v>
      </c>
      <c r="C1906" s="4" t="s">
        <v>1271</v>
      </c>
      <c r="D1906" s="4" t="s">
        <v>0</v>
      </c>
      <c r="E1906" s="4" t="s">
        <v>12</v>
      </c>
      <c r="F1906" s="2" t="s">
        <v>0</v>
      </c>
      <c r="G1906" s="2" t="str">
        <f>"01"</f>
        <v>01</v>
      </c>
      <c r="H1906" s="3">
        <v>413</v>
      </c>
    </row>
    <row r="1907" spans="1:8" ht="29.25" x14ac:dyDescent="0.25">
      <c r="A1907" s="2" t="str">
        <f>"00051050"</f>
        <v>00051050</v>
      </c>
      <c r="B1907" s="2" t="str">
        <f t="shared" si="91"/>
        <v>SG</v>
      </c>
      <c r="C1907" s="4" t="s">
        <v>1272</v>
      </c>
      <c r="D1907" s="4" t="s">
        <v>0</v>
      </c>
      <c r="E1907" s="4" t="s">
        <v>12</v>
      </c>
      <c r="F1907" s="2" t="s">
        <v>0</v>
      </c>
      <c r="G1907" s="2" t="str">
        <f>"03"</f>
        <v>03</v>
      </c>
      <c r="H1907" s="3">
        <v>637</v>
      </c>
    </row>
    <row r="1908" spans="1:8" ht="29.25" x14ac:dyDescent="0.25">
      <c r="A1908" s="2" t="str">
        <f>"00051065"</f>
        <v>00051065</v>
      </c>
      <c r="B1908" s="2" t="str">
        <f t="shared" si="91"/>
        <v>SG</v>
      </c>
      <c r="C1908" s="4" t="s">
        <v>1273</v>
      </c>
      <c r="D1908" s="4" t="s">
        <v>0</v>
      </c>
      <c r="E1908" s="4" t="s">
        <v>12</v>
      </c>
      <c r="F1908" s="2" t="s">
        <v>0</v>
      </c>
      <c r="G1908" s="2" t="str">
        <f>"03"</f>
        <v>03</v>
      </c>
      <c r="H1908" s="3">
        <v>637</v>
      </c>
    </row>
    <row r="1909" spans="1:8" ht="29.25" x14ac:dyDescent="0.25">
      <c r="A1909" s="2" t="str">
        <f>"00051080"</f>
        <v>00051080</v>
      </c>
      <c r="B1909" s="2" t="str">
        <f t="shared" si="91"/>
        <v>SG</v>
      </c>
      <c r="C1909" s="4" t="s">
        <v>1274</v>
      </c>
      <c r="D1909" s="4" t="s">
        <v>0</v>
      </c>
      <c r="E1909" s="4" t="s">
        <v>12</v>
      </c>
      <c r="F1909" s="2" t="s">
        <v>0</v>
      </c>
      <c r="G1909" s="2" t="str">
        <f>"01"</f>
        <v>01</v>
      </c>
      <c r="H1909" s="3">
        <v>413</v>
      </c>
    </row>
    <row r="1910" spans="1:8" ht="29.25" x14ac:dyDescent="0.25">
      <c r="A1910" s="2" t="str">
        <f>"00051500"</f>
        <v>00051500</v>
      </c>
      <c r="B1910" s="2" t="str">
        <f t="shared" si="91"/>
        <v>SG</v>
      </c>
      <c r="C1910" s="4" t="s">
        <v>1275</v>
      </c>
      <c r="D1910" s="4" t="s">
        <v>0</v>
      </c>
      <c r="E1910" s="4" t="s">
        <v>12</v>
      </c>
      <c r="F1910" s="2" t="s">
        <v>0</v>
      </c>
      <c r="G1910" s="2" t="str">
        <f>"04"</f>
        <v>04</v>
      </c>
      <c r="H1910" s="3">
        <v>785</v>
      </c>
    </row>
    <row r="1911" spans="1:8" ht="29.25" x14ac:dyDescent="0.25">
      <c r="A1911" s="2" t="str">
        <f>"00051520"</f>
        <v>00051520</v>
      </c>
      <c r="B1911" s="2" t="str">
        <f t="shared" si="91"/>
        <v>SG</v>
      </c>
      <c r="C1911" s="4" t="s">
        <v>1276</v>
      </c>
      <c r="D1911" s="4" t="s">
        <v>0</v>
      </c>
      <c r="E1911" s="4" t="s">
        <v>12</v>
      </c>
      <c r="F1911" s="2" t="s">
        <v>0</v>
      </c>
      <c r="G1911" s="2" t="str">
        <f>"03"</f>
        <v>03</v>
      </c>
      <c r="H1911" s="3">
        <v>637</v>
      </c>
    </row>
    <row r="1912" spans="1:8" x14ac:dyDescent="0.25">
      <c r="A1912" s="2" t="str">
        <f>"00051710"</f>
        <v>00051710</v>
      </c>
      <c r="B1912" s="2" t="str">
        <f t="shared" si="91"/>
        <v>SG</v>
      </c>
      <c r="C1912" s="4" t="s">
        <v>1277</v>
      </c>
      <c r="D1912" s="4" t="s">
        <v>0</v>
      </c>
      <c r="E1912" s="4" t="s">
        <v>12</v>
      </c>
      <c r="F1912" s="2" t="s">
        <v>0</v>
      </c>
      <c r="G1912" s="2" t="str">
        <f>"01"</f>
        <v>01</v>
      </c>
      <c r="H1912" s="3">
        <v>413</v>
      </c>
    </row>
    <row r="1913" spans="1:8" ht="29.25" x14ac:dyDescent="0.25">
      <c r="A1913" s="2" t="str">
        <f>"00051715"</f>
        <v>00051715</v>
      </c>
      <c r="B1913" s="2" t="str">
        <f t="shared" si="91"/>
        <v>SG</v>
      </c>
      <c r="C1913" s="4" t="s">
        <v>1278</v>
      </c>
      <c r="D1913" s="4" t="s">
        <v>0</v>
      </c>
      <c r="E1913" s="4" t="s">
        <v>12</v>
      </c>
      <c r="F1913" s="2" t="s">
        <v>0</v>
      </c>
      <c r="G1913" s="2" t="str">
        <f>"03"</f>
        <v>03</v>
      </c>
      <c r="H1913" s="3">
        <v>637</v>
      </c>
    </row>
    <row r="1914" spans="1:8" ht="29.25" x14ac:dyDescent="0.25">
      <c r="A1914" s="2" t="str">
        <f>"00051726"</f>
        <v>00051726</v>
      </c>
      <c r="B1914" s="2" t="str">
        <f t="shared" si="91"/>
        <v>SG</v>
      </c>
      <c r="C1914" s="4" t="s">
        <v>1279</v>
      </c>
      <c r="D1914" s="4" t="s">
        <v>0</v>
      </c>
      <c r="E1914" s="4" t="s">
        <v>12</v>
      </c>
      <c r="F1914" s="2" t="s">
        <v>0</v>
      </c>
      <c r="G1914" s="2" t="str">
        <f>"01"</f>
        <v>01</v>
      </c>
      <c r="H1914" s="3">
        <v>413</v>
      </c>
    </row>
    <row r="1915" spans="1:8" ht="29.25" x14ac:dyDescent="0.25">
      <c r="A1915" s="2" t="str">
        <f>"00051785"</f>
        <v>00051785</v>
      </c>
      <c r="B1915" s="2" t="str">
        <f t="shared" si="91"/>
        <v>SG</v>
      </c>
      <c r="C1915" s="4" t="s">
        <v>1280</v>
      </c>
      <c r="D1915" s="4" t="s">
        <v>0</v>
      </c>
      <c r="E1915" s="4" t="s">
        <v>12</v>
      </c>
      <c r="F1915" s="2" t="s">
        <v>0</v>
      </c>
      <c r="G1915" s="2" t="str">
        <f>"01"</f>
        <v>01</v>
      </c>
      <c r="H1915" s="3">
        <v>413</v>
      </c>
    </row>
    <row r="1916" spans="1:8" ht="29.25" x14ac:dyDescent="0.25">
      <c r="A1916" s="2" t="str">
        <f>"00051880"</f>
        <v>00051880</v>
      </c>
      <c r="B1916" s="2" t="str">
        <f t="shared" si="91"/>
        <v>SG</v>
      </c>
      <c r="C1916" s="4" t="s">
        <v>1281</v>
      </c>
      <c r="D1916" s="4" t="s">
        <v>0</v>
      </c>
      <c r="E1916" s="4" t="s">
        <v>12</v>
      </c>
      <c r="F1916" s="2" t="s">
        <v>0</v>
      </c>
      <c r="G1916" s="2" t="str">
        <f>"03"</f>
        <v>03</v>
      </c>
      <c r="H1916" s="3">
        <v>637</v>
      </c>
    </row>
    <row r="1917" spans="1:8" x14ac:dyDescent="0.25">
      <c r="A1917" s="2" t="str">
        <f>"00051992"</f>
        <v>00051992</v>
      </c>
      <c r="B1917" s="2" t="str">
        <f t="shared" si="91"/>
        <v>SG</v>
      </c>
      <c r="C1917" s="4" t="s">
        <v>1282</v>
      </c>
      <c r="D1917" s="4" t="s">
        <v>0</v>
      </c>
      <c r="E1917" s="4" t="s">
        <v>12</v>
      </c>
      <c r="F1917" s="2" t="s">
        <v>0</v>
      </c>
      <c r="G1917" s="2" t="str">
        <f>"07"</f>
        <v>07</v>
      </c>
      <c r="H1917" s="3">
        <v>1233</v>
      </c>
    </row>
    <row r="1918" spans="1:8" x14ac:dyDescent="0.25">
      <c r="A1918" s="2" t="str">
        <f>"00052000"</f>
        <v>00052000</v>
      </c>
      <c r="B1918" s="2" t="str">
        <f t="shared" si="91"/>
        <v>SG</v>
      </c>
      <c r="C1918" s="4" t="s">
        <v>1283</v>
      </c>
      <c r="D1918" s="4" t="s">
        <v>0</v>
      </c>
      <c r="E1918" s="4" t="s">
        <v>12</v>
      </c>
      <c r="F1918" s="2" t="s">
        <v>0</v>
      </c>
      <c r="G1918" s="2" t="str">
        <f>"01"</f>
        <v>01</v>
      </c>
      <c r="H1918" s="3">
        <v>413</v>
      </c>
    </row>
    <row r="1919" spans="1:8" ht="29.25" x14ac:dyDescent="0.25">
      <c r="A1919" s="2" t="str">
        <f>"00052001"</f>
        <v>00052001</v>
      </c>
      <c r="B1919" s="2" t="str">
        <f t="shared" si="91"/>
        <v>SG</v>
      </c>
      <c r="C1919" s="4" t="s">
        <v>1284</v>
      </c>
      <c r="D1919" s="4" t="s">
        <v>0</v>
      </c>
      <c r="E1919" s="4" t="s">
        <v>12</v>
      </c>
      <c r="F1919" s="2" t="s">
        <v>0</v>
      </c>
      <c r="G1919" s="2" t="str">
        <f>"02"</f>
        <v>02</v>
      </c>
      <c r="H1919" s="3">
        <v>552</v>
      </c>
    </row>
    <row r="1920" spans="1:8" ht="29.25" x14ac:dyDescent="0.25">
      <c r="A1920" s="2" t="str">
        <f>"00052005"</f>
        <v>00052005</v>
      </c>
      <c r="B1920" s="2" t="str">
        <f t="shared" si="91"/>
        <v>SG</v>
      </c>
      <c r="C1920" s="4" t="s">
        <v>1285</v>
      </c>
      <c r="D1920" s="4" t="s">
        <v>0</v>
      </c>
      <c r="E1920" s="4" t="s">
        <v>12</v>
      </c>
      <c r="F1920" s="2" t="s">
        <v>0</v>
      </c>
      <c r="G1920" s="2" t="str">
        <f>"03"</f>
        <v>03</v>
      </c>
      <c r="H1920" s="3">
        <v>637</v>
      </c>
    </row>
    <row r="1921" spans="1:8" x14ac:dyDescent="0.25">
      <c r="A1921" s="2" t="str">
        <f>"00052007"</f>
        <v>00052007</v>
      </c>
      <c r="B1921" s="2" t="str">
        <f t="shared" si="91"/>
        <v>SG</v>
      </c>
      <c r="C1921" s="4" t="s">
        <v>1286</v>
      </c>
      <c r="D1921" s="4" t="s">
        <v>0</v>
      </c>
      <c r="E1921" s="4" t="s">
        <v>12</v>
      </c>
      <c r="F1921" s="2" t="s">
        <v>0</v>
      </c>
      <c r="G1921" s="2" t="str">
        <f>"03"</f>
        <v>03</v>
      </c>
      <c r="H1921" s="3">
        <v>637</v>
      </c>
    </row>
    <row r="1922" spans="1:8" ht="29.25" x14ac:dyDescent="0.25">
      <c r="A1922" s="2" t="str">
        <f>"00052010"</f>
        <v>00052010</v>
      </c>
      <c r="B1922" s="2" t="str">
        <f t="shared" si="91"/>
        <v>SG</v>
      </c>
      <c r="C1922" s="4" t="s">
        <v>1287</v>
      </c>
      <c r="D1922" s="4" t="s">
        <v>0</v>
      </c>
      <c r="E1922" s="4" t="s">
        <v>12</v>
      </c>
      <c r="F1922" s="2" t="s">
        <v>0</v>
      </c>
      <c r="G1922" s="2" t="str">
        <f>"01"</f>
        <v>01</v>
      </c>
      <c r="H1922" s="3">
        <v>413</v>
      </c>
    </row>
    <row r="1923" spans="1:8" x14ac:dyDescent="0.25">
      <c r="A1923" s="2" t="str">
        <f>"00052204"</f>
        <v>00052204</v>
      </c>
      <c r="B1923" s="2" t="str">
        <f t="shared" si="91"/>
        <v>SG</v>
      </c>
      <c r="C1923" s="4" t="s">
        <v>1288</v>
      </c>
      <c r="D1923" s="4" t="s">
        <v>0</v>
      </c>
      <c r="E1923" s="4" t="s">
        <v>12</v>
      </c>
      <c r="F1923" s="2" t="s">
        <v>0</v>
      </c>
      <c r="G1923" s="2" t="str">
        <f t="shared" ref="G1923:G1928" si="92">"03"</f>
        <v>03</v>
      </c>
      <c r="H1923" s="3">
        <v>637</v>
      </c>
    </row>
    <row r="1924" spans="1:8" ht="29.25" x14ac:dyDescent="0.25">
      <c r="A1924" s="2" t="str">
        <f>"00052214"</f>
        <v>00052214</v>
      </c>
      <c r="B1924" s="2" t="str">
        <f t="shared" si="91"/>
        <v>SG</v>
      </c>
      <c r="C1924" s="4" t="s">
        <v>1289</v>
      </c>
      <c r="D1924" s="4" t="s">
        <v>0</v>
      </c>
      <c r="E1924" s="4" t="s">
        <v>12</v>
      </c>
      <c r="F1924" s="2" t="s">
        <v>0</v>
      </c>
      <c r="G1924" s="2" t="str">
        <f t="shared" si="92"/>
        <v>03</v>
      </c>
      <c r="H1924" s="3">
        <v>637</v>
      </c>
    </row>
    <row r="1925" spans="1:8" ht="29.25" x14ac:dyDescent="0.25">
      <c r="A1925" s="2" t="str">
        <f>"00052224"</f>
        <v>00052224</v>
      </c>
      <c r="B1925" s="2" t="str">
        <f t="shared" si="91"/>
        <v>SG</v>
      </c>
      <c r="C1925" s="4" t="s">
        <v>1289</v>
      </c>
      <c r="D1925" s="4" t="s">
        <v>0</v>
      </c>
      <c r="E1925" s="4" t="s">
        <v>12</v>
      </c>
      <c r="F1925" s="2" t="s">
        <v>0</v>
      </c>
      <c r="G1925" s="2" t="str">
        <f t="shared" si="92"/>
        <v>03</v>
      </c>
      <c r="H1925" s="3">
        <v>637</v>
      </c>
    </row>
    <row r="1926" spans="1:8" ht="29.25" x14ac:dyDescent="0.25">
      <c r="A1926" s="2" t="str">
        <f>"00052234"</f>
        <v>00052234</v>
      </c>
      <c r="B1926" s="2" t="str">
        <f t="shared" si="91"/>
        <v>SG</v>
      </c>
      <c r="C1926" s="4" t="s">
        <v>1289</v>
      </c>
      <c r="D1926" s="4" t="s">
        <v>0</v>
      </c>
      <c r="E1926" s="4" t="s">
        <v>12</v>
      </c>
      <c r="F1926" s="2" t="s">
        <v>0</v>
      </c>
      <c r="G1926" s="2" t="str">
        <f t="shared" si="92"/>
        <v>03</v>
      </c>
      <c r="H1926" s="3">
        <v>637</v>
      </c>
    </row>
    <row r="1927" spans="1:8" ht="29.25" x14ac:dyDescent="0.25">
      <c r="A1927" s="2" t="str">
        <f>"00052235"</f>
        <v>00052235</v>
      </c>
      <c r="B1927" s="2" t="str">
        <f t="shared" si="91"/>
        <v>SG</v>
      </c>
      <c r="C1927" s="4" t="s">
        <v>1289</v>
      </c>
      <c r="D1927" s="4" t="s">
        <v>0</v>
      </c>
      <c r="E1927" s="4" t="s">
        <v>12</v>
      </c>
      <c r="F1927" s="2" t="s">
        <v>0</v>
      </c>
      <c r="G1927" s="2" t="str">
        <f t="shared" si="92"/>
        <v>03</v>
      </c>
      <c r="H1927" s="3">
        <v>637</v>
      </c>
    </row>
    <row r="1928" spans="1:8" ht="29.25" x14ac:dyDescent="0.25">
      <c r="A1928" s="2" t="str">
        <f>"00052240"</f>
        <v>00052240</v>
      </c>
      <c r="B1928" s="2" t="str">
        <f t="shared" si="91"/>
        <v>SG</v>
      </c>
      <c r="C1928" s="4" t="s">
        <v>1289</v>
      </c>
      <c r="D1928" s="4" t="s">
        <v>0</v>
      </c>
      <c r="E1928" s="4" t="s">
        <v>12</v>
      </c>
      <c r="F1928" s="2" t="s">
        <v>0</v>
      </c>
      <c r="G1928" s="2" t="str">
        <f t="shared" si="92"/>
        <v>03</v>
      </c>
      <c r="H1928" s="3">
        <v>637</v>
      </c>
    </row>
    <row r="1929" spans="1:8" ht="29.25" x14ac:dyDescent="0.25">
      <c r="A1929" s="2" t="str">
        <f>"00052250"</f>
        <v>00052250</v>
      </c>
      <c r="B1929" s="2" t="str">
        <f t="shared" si="91"/>
        <v>SG</v>
      </c>
      <c r="C1929" s="4" t="s">
        <v>1290</v>
      </c>
      <c r="D1929" s="4" t="s">
        <v>0</v>
      </c>
      <c r="E1929" s="4" t="s">
        <v>12</v>
      </c>
      <c r="F1929" s="2" t="s">
        <v>0</v>
      </c>
      <c r="G1929" s="2" t="str">
        <f>"04"</f>
        <v>04</v>
      </c>
      <c r="H1929" s="3">
        <v>785</v>
      </c>
    </row>
    <row r="1930" spans="1:8" ht="29.25" x14ac:dyDescent="0.25">
      <c r="A1930" s="2" t="str">
        <f>"00052260"</f>
        <v>00052260</v>
      </c>
      <c r="B1930" s="2" t="str">
        <f t="shared" si="91"/>
        <v>SG</v>
      </c>
      <c r="C1930" s="4" t="s">
        <v>1289</v>
      </c>
      <c r="D1930" s="4" t="s">
        <v>0</v>
      </c>
      <c r="E1930" s="4" t="s">
        <v>12</v>
      </c>
      <c r="F1930" s="2" t="s">
        <v>0</v>
      </c>
      <c r="G1930" s="2" t="str">
        <f>"01"</f>
        <v>01</v>
      </c>
      <c r="H1930" s="3">
        <v>413</v>
      </c>
    </row>
    <row r="1931" spans="1:8" ht="29.25" x14ac:dyDescent="0.25">
      <c r="A1931" s="2" t="str">
        <f>"00052270"</f>
        <v>00052270</v>
      </c>
      <c r="B1931" s="2" t="str">
        <f t="shared" si="91"/>
        <v>SG</v>
      </c>
      <c r="C1931" s="4" t="s">
        <v>1291</v>
      </c>
      <c r="D1931" s="4" t="s">
        <v>0</v>
      </c>
      <c r="E1931" s="4" t="s">
        <v>12</v>
      </c>
      <c r="F1931" s="2" t="s">
        <v>0</v>
      </c>
      <c r="G1931" s="2" t="str">
        <f>"07"</f>
        <v>07</v>
      </c>
      <c r="H1931" s="3">
        <v>1233</v>
      </c>
    </row>
    <row r="1932" spans="1:8" ht="29.25" x14ac:dyDescent="0.25">
      <c r="A1932" s="2" t="str">
        <f>"00052275"</f>
        <v>00052275</v>
      </c>
      <c r="B1932" s="2" t="str">
        <f t="shared" si="91"/>
        <v>SG</v>
      </c>
      <c r="C1932" s="4" t="s">
        <v>1291</v>
      </c>
      <c r="D1932" s="4" t="s">
        <v>0</v>
      </c>
      <c r="E1932" s="4" t="s">
        <v>12</v>
      </c>
      <c r="F1932" s="2" t="s">
        <v>0</v>
      </c>
      <c r="G1932" s="2" t="str">
        <f>"03"</f>
        <v>03</v>
      </c>
      <c r="H1932" s="3">
        <v>637</v>
      </c>
    </row>
    <row r="1933" spans="1:8" ht="29.25" x14ac:dyDescent="0.25">
      <c r="A1933" s="2" t="str">
        <f>"00052276"</f>
        <v>00052276</v>
      </c>
      <c r="B1933" s="2" t="str">
        <f t="shared" ref="B1933:B1996" si="93">"SG"</f>
        <v>SG</v>
      </c>
      <c r="C1933" s="4" t="s">
        <v>1289</v>
      </c>
      <c r="D1933" s="4" t="s">
        <v>0</v>
      </c>
      <c r="E1933" s="4" t="s">
        <v>12</v>
      </c>
      <c r="F1933" s="2" t="s">
        <v>0</v>
      </c>
      <c r="G1933" s="2" t="str">
        <f>"03"</f>
        <v>03</v>
      </c>
      <c r="H1933" s="3">
        <v>637</v>
      </c>
    </row>
    <row r="1934" spans="1:8" ht="29.25" x14ac:dyDescent="0.25">
      <c r="A1934" s="2" t="str">
        <f>"00052277"</f>
        <v>00052277</v>
      </c>
      <c r="B1934" s="2" t="str">
        <f t="shared" si="93"/>
        <v>SG</v>
      </c>
      <c r="C1934" s="4" t="s">
        <v>1289</v>
      </c>
      <c r="D1934" s="4" t="s">
        <v>0</v>
      </c>
      <c r="E1934" s="4" t="s">
        <v>12</v>
      </c>
      <c r="F1934" s="2" t="s">
        <v>0</v>
      </c>
      <c r="G1934" s="2" t="str">
        <f>"03"</f>
        <v>03</v>
      </c>
      <c r="H1934" s="3">
        <v>637</v>
      </c>
    </row>
    <row r="1935" spans="1:8" ht="29.25" x14ac:dyDescent="0.25">
      <c r="A1935" s="2" t="str">
        <f>"00052281"</f>
        <v>00052281</v>
      </c>
      <c r="B1935" s="2" t="str">
        <f t="shared" si="93"/>
        <v>SG</v>
      </c>
      <c r="C1935" s="4" t="s">
        <v>1289</v>
      </c>
      <c r="D1935" s="4" t="s">
        <v>0</v>
      </c>
      <c r="E1935" s="4" t="s">
        <v>12</v>
      </c>
      <c r="F1935" s="2" t="s">
        <v>0</v>
      </c>
      <c r="G1935" s="2" t="str">
        <f>"01"</f>
        <v>01</v>
      </c>
      <c r="H1935" s="3">
        <v>413</v>
      </c>
    </row>
    <row r="1936" spans="1:8" ht="29.25" x14ac:dyDescent="0.25">
      <c r="A1936" s="2" t="str">
        <f>"00052282"</f>
        <v>00052282</v>
      </c>
      <c r="B1936" s="2" t="str">
        <f t="shared" si="93"/>
        <v>SG</v>
      </c>
      <c r="C1936" s="4" t="s">
        <v>1292</v>
      </c>
      <c r="D1936" s="4" t="s">
        <v>0</v>
      </c>
      <c r="E1936" s="4" t="s">
        <v>12</v>
      </c>
      <c r="F1936" s="2" t="s">
        <v>0</v>
      </c>
      <c r="G1936" s="2" t="str">
        <f>"03"</f>
        <v>03</v>
      </c>
      <c r="H1936" s="3">
        <v>637</v>
      </c>
    </row>
    <row r="1937" spans="1:8" ht="29.25" x14ac:dyDescent="0.25">
      <c r="A1937" s="2" t="str">
        <f>"00052283"</f>
        <v>00052283</v>
      </c>
      <c r="B1937" s="2" t="str">
        <f t="shared" si="93"/>
        <v>SG</v>
      </c>
      <c r="C1937" s="4" t="s">
        <v>1289</v>
      </c>
      <c r="D1937" s="4" t="s">
        <v>0</v>
      </c>
      <c r="E1937" s="4" t="s">
        <v>12</v>
      </c>
      <c r="F1937" s="2" t="s">
        <v>0</v>
      </c>
      <c r="G1937" s="2" t="str">
        <f>"03"</f>
        <v>03</v>
      </c>
      <c r="H1937" s="3">
        <v>637</v>
      </c>
    </row>
    <row r="1938" spans="1:8" ht="29.25" x14ac:dyDescent="0.25">
      <c r="A1938" s="2" t="str">
        <f>"00052285"</f>
        <v>00052285</v>
      </c>
      <c r="B1938" s="2" t="str">
        <f t="shared" si="93"/>
        <v>SG</v>
      </c>
      <c r="C1938" s="4" t="s">
        <v>1289</v>
      </c>
      <c r="D1938" s="4" t="s">
        <v>0</v>
      </c>
      <c r="E1938" s="4" t="s">
        <v>12</v>
      </c>
      <c r="F1938" s="2" t="s">
        <v>0</v>
      </c>
      <c r="G1938" s="2" t="str">
        <f>"01"</f>
        <v>01</v>
      </c>
      <c r="H1938" s="3">
        <v>413</v>
      </c>
    </row>
    <row r="1939" spans="1:8" ht="29.25" x14ac:dyDescent="0.25">
      <c r="A1939" s="2" t="str">
        <f>"00052290"</f>
        <v>00052290</v>
      </c>
      <c r="B1939" s="2" t="str">
        <f t="shared" si="93"/>
        <v>SG</v>
      </c>
      <c r="C1939" s="4" t="s">
        <v>1289</v>
      </c>
      <c r="D1939" s="4" t="s">
        <v>0</v>
      </c>
      <c r="E1939" s="4" t="s">
        <v>12</v>
      </c>
      <c r="F1939" s="2" t="s">
        <v>0</v>
      </c>
      <c r="G1939" s="2" t="str">
        <f>"03"</f>
        <v>03</v>
      </c>
      <c r="H1939" s="3">
        <v>637</v>
      </c>
    </row>
    <row r="1940" spans="1:8" ht="29.25" x14ac:dyDescent="0.25">
      <c r="A1940" s="2" t="str">
        <f>"00052300"</f>
        <v>00052300</v>
      </c>
      <c r="B1940" s="2" t="str">
        <f t="shared" si="93"/>
        <v>SG</v>
      </c>
      <c r="C1940" s="4" t="s">
        <v>1289</v>
      </c>
      <c r="D1940" s="4" t="s">
        <v>0</v>
      </c>
      <c r="E1940" s="4" t="s">
        <v>12</v>
      </c>
      <c r="F1940" s="2" t="s">
        <v>0</v>
      </c>
      <c r="G1940" s="2" t="str">
        <f>"03"</f>
        <v>03</v>
      </c>
      <c r="H1940" s="3">
        <v>637</v>
      </c>
    </row>
    <row r="1941" spans="1:8" ht="29.25" x14ac:dyDescent="0.25">
      <c r="A1941" s="2" t="str">
        <f>"00052301"</f>
        <v>00052301</v>
      </c>
      <c r="B1941" s="2" t="str">
        <f t="shared" si="93"/>
        <v>SG</v>
      </c>
      <c r="C1941" s="4" t="s">
        <v>1289</v>
      </c>
      <c r="D1941" s="4" t="s">
        <v>0</v>
      </c>
      <c r="E1941" s="4" t="s">
        <v>12</v>
      </c>
      <c r="F1941" s="2" t="s">
        <v>0</v>
      </c>
      <c r="G1941" s="2" t="str">
        <f>"03"</f>
        <v>03</v>
      </c>
      <c r="H1941" s="3">
        <v>637</v>
      </c>
    </row>
    <row r="1942" spans="1:8" ht="29.25" x14ac:dyDescent="0.25">
      <c r="A1942" s="2" t="str">
        <f>"00052305"</f>
        <v>00052305</v>
      </c>
      <c r="B1942" s="2" t="str">
        <f t="shared" si="93"/>
        <v>SG</v>
      </c>
      <c r="C1942" s="4" t="s">
        <v>1289</v>
      </c>
      <c r="D1942" s="4" t="s">
        <v>0</v>
      </c>
      <c r="E1942" s="4" t="s">
        <v>12</v>
      </c>
      <c r="F1942" s="2" t="s">
        <v>0</v>
      </c>
      <c r="G1942" s="2" t="str">
        <f>"03"</f>
        <v>03</v>
      </c>
      <c r="H1942" s="3">
        <v>637</v>
      </c>
    </row>
    <row r="1943" spans="1:8" ht="29.25" x14ac:dyDescent="0.25">
      <c r="A1943" s="2" t="str">
        <f>"00052310"</f>
        <v>00052310</v>
      </c>
      <c r="B1943" s="2" t="str">
        <f t="shared" si="93"/>
        <v>SG</v>
      </c>
      <c r="C1943" s="4" t="s">
        <v>1289</v>
      </c>
      <c r="D1943" s="4" t="s">
        <v>0</v>
      </c>
      <c r="E1943" s="4" t="s">
        <v>12</v>
      </c>
      <c r="F1943" s="2" t="s">
        <v>0</v>
      </c>
      <c r="G1943" s="2" t="str">
        <f>"01"</f>
        <v>01</v>
      </c>
      <c r="H1943" s="3">
        <v>413</v>
      </c>
    </row>
    <row r="1944" spans="1:8" ht="29.25" x14ac:dyDescent="0.25">
      <c r="A1944" s="2" t="str">
        <f>"00052315"</f>
        <v>00052315</v>
      </c>
      <c r="B1944" s="2" t="str">
        <f t="shared" si="93"/>
        <v>SG</v>
      </c>
      <c r="C1944" s="4" t="s">
        <v>1289</v>
      </c>
      <c r="D1944" s="4" t="s">
        <v>0</v>
      </c>
      <c r="E1944" s="4" t="s">
        <v>12</v>
      </c>
      <c r="F1944" s="2" t="s">
        <v>0</v>
      </c>
      <c r="G1944" s="2" t="str">
        <f>"03"</f>
        <v>03</v>
      </c>
      <c r="H1944" s="3">
        <v>637</v>
      </c>
    </row>
    <row r="1945" spans="1:8" x14ac:dyDescent="0.25">
      <c r="A1945" s="2" t="str">
        <f>"00052317"</f>
        <v>00052317</v>
      </c>
      <c r="B1945" s="2" t="str">
        <f t="shared" si="93"/>
        <v>SG</v>
      </c>
      <c r="C1945" s="4" t="s">
        <v>1293</v>
      </c>
      <c r="D1945" s="4" t="s">
        <v>0</v>
      </c>
      <c r="E1945" s="4" t="s">
        <v>12</v>
      </c>
      <c r="F1945" s="2" t="s">
        <v>0</v>
      </c>
      <c r="G1945" s="2" t="str">
        <f>"03"</f>
        <v>03</v>
      </c>
      <c r="H1945" s="3">
        <v>637</v>
      </c>
    </row>
    <row r="1946" spans="1:8" x14ac:dyDescent="0.25">
      <c r="A1946" s="2" t="str">
        <f>"00052318"</f>
        <v>00052318</v>
      </c>
      <c r="B1946" s="2" t="str">
        <f t="shared" si="93"/>
        <v>SG</v>
      </c>
      <c r="C1946" s="4" t="s">
        <v>1293</v>
      </c>
      <c r="D1946" s="4" t="s">
        <v>0</v>
      </c>
      <c r="E1946" s="4" t="s">
        <v>12</v>
      </c>
      <c r="F1946" s="2" t="s">
        <v>0</v>
      </c>
      <c r="G1946" s="2" t="str">
        <f>"03"</f>
        <v>03</v>
      </c>
      <c r="H1946" s="3">
        <v>637</v>
      </c>
    </row>
    <row r="1947" spans="1:8" ht="29.25" x14ac:dyDescent="0.25">
      <c r="A1947" s="2" t="str">
        <f>"00052320"</f>
        <v>00052320</v>
      </c>
      <c r="B1947" s="2" t="str">
        <f t="shared" si="93"/>
        <v>SG</v>
      </c>
      <c r="C1947" s="4" t="s">
        <v>1289</v>
      </c>
      <c r="D1947" s="4" t="s">
        <v>0</v>
      </c>
      <c r="E1947" s="4" t="s">
        <v>12</v>
      </c>
      <c r="F1947" s="2" t="s">
        <v>0</v>
      </c>
      <c r="G1947" s="2" t="str">
        <f>"03"</f>
        <v>03</v>
      </c>
      <c r="H1947" s="3">
        <v>637</v>
      </c>
    </row>
    <row r="1948" spans="1:8" ht="29.25" x14ac:dyDescent="0.25">
      <c r="A1948" s="2" t="str">
        <f>"00052325"</f>
        <v>00052325</v>
      </c>
      <c r="B1948" s="2" t="str">
        <f t="shared" si="93"/>
        <v>SG</v>
      </c>
      <c r="C1948" s="4" t="s">
        <v>1294</v>
      </c>
      <c r="D1948" s="4" t="s">
        <v>0</v>
      </c>
      <c r="E1948" s="4" t="s">
        <v>12</v>
      </c>
      <c r="F1948" s="2" t="s">
        <v>0</v>
      </c>
      <c r="G1948" s="2" t="str">
        <f>"03"</f>
        <v>03</v>
      </c>
      <c r="H1948" s="3">
        <v>637</v>
      </c>
    </row>
    <row r="1949" spans="1:8" ht="29.25" x14ac:dyDescent="0.25">
      <c r="A1949" s="2" t="str">
        <f>"00052327"</f>
        <v>00052327</v>
      </c>
      <c r="B1949" s="2" t="str">
        <f t="shared" si="93"/>
        <v>SG</v>
      </c>
      <c r="C1949" s="4" t="s">
        <v>1295</v>
      </c>
      <c r="D1949" s="4" t="s">
        <v>0</v>
      </c>
      <c r="E1949" s="4" t="s">
        <v>12</v>
      </c>
      <c r="F1949" s="2" t="s">
        <v>0</v>
      </c>
      <c r="G1949" s="2" t="str">
        <f>"06"</f>
        <v>06</v>
      </c>
      <c r="H1949" s="3">
        <v>1000</v>
      </c>
    </row>
    <row r="1950" spans="1:8" ht="29.25" x14ac:dyDescent="0.25">
      <c r="A1950" s="2" t="str">
        <f>"00052330"</f>
        <v>00052330</v>
      </c>
      <c r="B1950" s="2" t="str">
        <f t="shared" si="93"/>
        <v>SG</v>
      </c>
      <c r="C1950" s="4" t="s">
        <v>1289</v>
      </c>
      <c r="D1950" s="4" t="s">
        <v>0</v>
      </c>
      <c r="E1950" s="4" t="s">
        <v>12</v>
      </c>
      <c r="F1950" s="2" t="s">
        <v>0</v>
      </c>
      <c r="G1950" s="2" t="str">
        <f t="shared" ref="G1950:G1959" si="94">"03"</f>
        <v>03</v>
      </c>
      <c r="H1950" s="3">
        <v>637</v>
      </c>
    </row>
    <row r="1951" spans="1:8" ht="29.25" x14ac:dyDescent="0.25">
      <c r="A1951" s="2" t="str">
        <f>"00052332"</f>
        <v>00052332</v>
      </c>
      <c r="B1951" s="2" t="str">
        <f t="shared" si="93"/>
        <v>SG</v>
      </c>
      <c r="C1951" s="4" t="s">
        <v>1289</v>
      </c>
      <c r="D1951" s="4" t="s">
        <v>0</v>
      </c>
      <c r="E1951" s="4" t="s">
        <v>12</v>
      </c>
      <c r="F1951" s="2" t="s">
        <v>0</v>
      </c>
      <c r="G1951" s="2" t="str">
        <f t="shared" si="94"/>
        <v>03</v>
      </c>
      <c r="H1951" s="3">
        <v>637</v>
      </c>
    </row>
    <row r="1952" spans="1:8" ht="29.25" x14ac:dyDescent="0.25">
      <c r="A1952" s="2" t="str">
        <f>"00052334"</f>
        <v>00052334</v>
      </c>
      <c r="B1952" s="2" t="str">
        <f t="shared" si="93"/>
        <v>SG</v>
      </c>
      <c r="C1952" s="4" t="s">
        <v>1296</v>
      </c>
      <c r="D1952" s="4" t="s">
        <v>0</v>
      </c>
      <c r="E1952" s="4" t="s">
        <v>12</v>
      </c>
      <c r="F1952" s="2" t="s">
        <v>0</v>
      </c>
      <c r="G1952" s="2" t="str">
        <f t="shared" si="94"/>
        <v>03</v>
      </c>
      <c r="H1952" s="3">
        <v>637</v>
      </c>
    </row>
    <row r="1953" spans="1:8" ht="29.25" x14ac:dyDescent="0.25">
      <c r="A1953" s="2" t="str">
        <f>"00052341"</f>
        <v>00052341</v>
      </c>
      <c r="B1953" s="2" t="str">
        <f t="shared" si="93"/>
        <v>SG</v>
      </c>
      <c r="C1953" s="4" t="s">
        <v>1297</v>
      </c>
      <c r="D1953" s="4" t="s">
        <v>0</v>
      </c>
      <c r="E1953" s="4" t="s">
        <v>12</v>
      </c>
      <c r="F1953" s="2" t="s">
        <v>0</v>
      </c>
      <c r="G1953" s="2" t="str">
        <f t="shared" si="94"/>
        <v>03</v>
      </c>
      <c r="H1953" s="3">
        <v>637</v>
      </c>
    </row>
    <row r="1954" spans="1:8" ht="29.25" x14ac:dyDescent="0.25">
      <c r="A1954" s="2" t="str">
        <f>"00052342"</f>
        <v>00052342</v>
      </c>
      <c r="B1954" s="2" t="str">
        <f t="shared" si="93"/>
        <v>SG</v>
      </c>
      <c r="C1954" s="4" t="s">
        <v>1298</v>
      </c>
      <c r="D1954" s="4" t="s">
        <v>0</v>
      </c>
      <c r="E1954" s="4" t="s">
        <v>12</v>
      </c>
      <c r="F1954" s="2" t="s">
        <v>0</v>
      </c>
      <c r="G1954" s="2" t="str">
        <f t="shared" si="94"/>
        <v>03</v>
      </c>
      <c r="H1954" s="3">
        <v>637</v>
      </c>
    </row>
    <row r="1955" spans="1:8" ht="29.25" x14ac:dyDescent="0.25">
      <c r="A1955" s="2" t="str">
        <f>"00052343"</f>
        <v>00052343</v>
      </c>
      <c r="B1955" s="2" t="str">
        <f t="shared" si="93"/>
        <v>SG</v>
      </c>
      <c r="C1955" s="4" t="s">
        <v>1299</v>
      </c>
      <c r="D1955" s="4" t="s">
        <v>0</v>
      </c>
      <c r="E1955" s="4" t="s">
        <v>12</v>
      </c>
      <c r="F1955" s="2" t="s">
        <v>0</v>
      </c>
      <c r="G1955" s="2" t="str">
        <f t="shared" si="94"/>
        <v>03</v>
      </c>
      <c r="H1955" s="3">
        <v>637</v>
      </c>
    </row>
    <row r="1956" spans="1:8" ht="29.25" x14ac:dyDescent="0.25">
      <c r="A1956" s="2" t="str">
        <f>"00052344"</f>
        <v>00052344</v>
      </c>
      <c r="B1956" s="2" t="str">
        <f t="shared" si="93"/>
        <v>SG</v>
      </c>
      <c r="C1956" s="4" t="s">
        <v>1300</v>
      </c>
      <c r="D1956" s="4" t="s">
        <v>0</v>
      </c>
      <c r="E1956" s="4" t="s">
        <v>12</v>
      </c>
      <c r="F1956" s="2" t="s">
        <v>0</v>
      </c>
      <c r="G1956" s="2" t="str">
        <f t="shared" si="94"/>
        <v>03</v>
      </c>
      <c r="H1956" s="3">
        <v>637</v>
      </c>
    </row>
    <row r="1957" spans="1:8" ht="29.25" x14ac:dyDescent="0.25">
      <c r="A1957" s="2" t="str">
        <f>"00052345"</f>
        <v>00052345</v>
      </c>
      <c r="B1957" s="2" t="str">
        <f t="shared" si="93"/>
        <v>SG</v>
      </c>
      <c r="C1957" s="4" t="s">
        <v>1301</v>
      </c>
      <c r="D1957" s="4" t="s">
        <v>0</v>
      </c>
      <c r="E1957" s="4" t="s">
        <v>12</v>
      </c>
      <c r="F1957" s="2" t="s">
        <v>0</v>
      </c>
      <c r="G1957" s="2" t="str">
        <f t="shared" si="94"/>
        <v>03</v>
      </c>
      <c r="H1957" s="3">
        <v>637</v>
      </c>
    </row>
    <row r="1958" spans="1:8" ht="29.25" x14ac:dyDescent="0.25">
      <c r="A1958" s="2" t="str">
        <f>"00052346"</f>
        <v>00052346</v>
      </c>
      <c r="B1958" s="2" t="str">
        <f t="shared" si="93"/>
        <v>SG</v>
      </c>
      <c r="C1958" s="4" t="s">
        <v>1302</v>
      </c>
      <c r="D1958" s="4" t="s">
        <v>0</v>
      </c>
      <c r="E1958" s="4" t="s">
        <v>12</v>
      </c>
      <c r="F1958" s="2" t="s">
        <v>0</v>
      </c>
      <c r="G1958" s="2" t="str">
        <f t="shared" si="94"/>
        <v>03</v>
      </c>
      <c r="H1958" s="3">
        <v>637</v>
      </c>
    </row>
    <row r="1959" spans="1:8" ht="29.25" x14ac:dyDescent="0.25">
      <c r="A1959" s="2" t="str">
        <f>"00052351"</f>
        <v>00052351</v>
      </c>
      <c r="B1959" s="2" t="str">
        <f t="shared" si="93"/>
        <v>SG</v>
      </c>
      <c r="C1959" s="4" t="s">
        <v>1303</v>
      </c>
      <c r="D1959" s="4" t="s">
        <v>0</v>
      </c>
      <c r="E1959" s="4" t="s">
        <v>12</v>
      </c>
      <c r="F1959" s="2" t="s">
        <v>0</v>
      </c>
      <c r="G1959" s="2" t="str">
        <f t="shared" si="94"/>
        <v>03</v>
      </c>
      <c r="H1959" s="3">
        <v>637</v>
      </c>
    </row>
    <row r="1960" spans="1:8" ht="29.25" x14ac:dyDescent="0.25">
      <c r="A1960" s="2" t="str">
        <f>"00052352"</f>
        <v>00052352</v>
      </c>
      <c r="B1960" s="2" t="str">
        <f t="shared" si="93"/>
        <v>SG</v>
      </c>
      <c r="C1960" s="4" t="s">
        <v>1304</v>
      </c>
      <c r="D1960" s="4" t="s">
        <v>0</v>
      </c>
      <c r="E1960" s="4" t="s">
        <v>12</v>
      </c>
      <c r="F1960" s="2" t="s">
        <v>0</v>
      </c>
      <c r="G1960" s="2" t="str">
        <f>"04"</f>
        <v>04</v>
      </c>
      <c r="H1960" s="3">
        <v>785</v>
      </c>
    </row>
    <row r="1961" spans="1:8" ht="29.25" x14ac:dyDescent="0.25">
      <c r="A1961" s="2" t="str">
        <f>"00052353"</f>
        <v>00052353</v>
      </c>
      <c r="B1961" s="2" t="str">
        <f t="shared" si="93"/>
        <v>SG</v>
      </c>
      <c r="C1961" s="4" t="s">
        <v>1305</v>
      </c>
      <c r="D1961" s="4" t="s">
        <v>0</v>
      </c>
      <c r="E1961" s="4" t="s">
        <v>12</v>
      </c>
      <c r="F1961" s="2" t="s">
        <v>0</v>
      </c>
      <c r="G1961" s="2" t="str">
        <f>"03"</f>
        <v>03</v>
      </c>
      <c r="H1961" s="3">
        <v>637</v>
      </c>
    </row>
    <row r="1962" spans="1:8" x14ac:dyDescent="0.25">
      <c r="A1962" s="2" t="str">
        <f>"00052354"</f>
        <v>00052354</v>
      </c>
      <c r="B1962" s="2" t="str">
        <f t="shared" si="93"/>
        <v>SG</v>
      </c>
      <c r="C1962" s="4" t="s">
        <v>1306</v>
      </c>
      <c r="D1962" s="4" t="s">
        <v>0</v>
      </c>
      <c r="E1962" s="4" t="s">
        <v>12</v>
      </c>
      <c r="F1962" s="2" t="s">
        <v>0</v>
      </c>
      <c r="G1962" s="2" t="str">
        <f>"04"</f>
        <v>04</v>
      </c>
      <c r="H1962" s="3">
        <v>785</v>
      </c>
    </row>
    <row r="1963" spans="1:8" ht="29.25" x14ac:dyDescent="0.25">
      <c r="A1963" s="2" t="str">
        <f>"00052355"</f>
        <v>00052355</v>
      </c>
      <c r="B1963" s="2" t="str">
        <f t="shared" si="93"/>
        <v>SG</v>
      </c>
      <c r="C1963" s="4" t="s">
        <v>1307</v>
      </c>
      <c r="D1963" s="4" t="s">
        <v>0</v>
      </c>
      <c r="E1963" s="4" t="s">
        <v>12</v>
      </c>
      <c r="F1963" s="2" t="s">
        <v>0</v>
      </c>
      <c r="G1963" s="2" t="str">
        <f>"04"</f>
        <v>04</v>
      </c>
      <c r="H1963" s="3">
        <v>785</v>
      </c>
    </row>
    <row r="1964" spans="1:8" ht="29.25" x14ac:dyDescent="0.25">
      <c r="A1964" s="2" t="str">
        <f>"00052400"</f>
        <v>00052400</v>
      </c>
      <c r="B1964" s="2" t="str">
        <f t="shared" si="93"/>
        <v>SG</v>
      </c>
      <c r="C1964" s="4" t="s">
        <v>1308</v>
      </c>
      <c r="D1964" s="4" t="s">
        <v>0</v>
      </c>
      <c r="E1964" s="4" t="s">
        <v>12</v>
      </c>
      <c r="F1964" s="2" t="s">
        <v>0</v>
      </c>
      <c r="G1964" s="2" t="str">
        <f>"03"</f>
        <v>03</v>
      </c>
      <c r="H1964" s="3">
        <v>637</v>
      </c>
    </row>
    <row r="1965" spans="1:8" ht="29.25" x14ac:dyDescent="0.25">
      <c r="A1965" s="2" t="str">
        <f>"00052402"</f>
        <v>00052402</v>
      </c>
      <c r="B1965" s="2" t="str">
        <f t="shared" si="93"/>
        <v>SG</v>
      </c>
      <c r="C1965" s="4" t="s">
        <v>1309</v>
      </c>
      <c r="D1965" s="4" t="s">
        <v>0</v>
      </c>
      <c r="E1965" s="4" t="s">
        <v>12</v>
      </c>
      <c r="F1965" s="2" t="s">
        <v>0</v>
      </c>
      <c r="G1965" s="2" t="str">
        <f>"03"</f>
        <v>03</v>
      </c>
      <c r="H1965" s="3">
        <v>637</v>
      </c>
    </row>
    <row r="1966" spans="1:8" x14ac:dyDescent="0.25">
      <c r="A1966" s="2" t="str">
        <f>"00052450"</f>
        <v>00052450</v>
      </c>
      <c r="B1966" s="2" t="str">
        <f t="shared" si="93"/>
        <v>SG</v>
      </c>
      <c r="C1966" s="4" t="s">
        <v>1310</v>
      </c>
      <c r="D1966" s="4" t="s">
        <v>0</v>
      </c>
      <c r="E1966" s="4" t="s">
        <v>12</v>
      </c>
      <c r="F1966" s="2" t="s">
        <v>0</v>
      </c>
      <c r="G1966" s="2" t="str">
        <f>"03"</f>
        <v>03</v>
      </c>
      <c r="H1966" s="3">
        <v>637</v>
      </c>
    </row>
    <row r="1967" spans="1:8" ht="29.25" x14ac:dyDescent="0.25">
      <c r="A1967" s="2" t="str">
        <f>"00052500"</f>
        <v>00052500</v>
      </c>
      <c r="B1967" s="2" t="str">
        <f t="shared" si="93"/>
        <v>SG</v>
      </c>
      <c r="C1967" s="4" t="s">
        <v>1311</v>
      </c>
      <c r="D1967" s="4" t="s">
        <v>0</v>
      </c>
      <c r="E1967" s="4" t="s">
        <v>12</v>
      </c>
      <c r="F1967" s="2" t="s">
        <v>0</v>
      </c>
      <c r="G1967" s="2" t="str">
        <f>"03"</f>
        <v>03</v>
      </c>
      <c r="H1967" s="3">
        <v>637</v>
      </c>
    </row>
    <row r="1968" spans="1:8" x14ac:dyDescent="0.25">
      <c r="A1968" s="2" t="str">
        <f>"00052601"</f>
        <v>00052601</v>
      </c>
      <c r="B1968" s="2" t="str">
        <f t="shared" si="93"/>
        <v>SG</v>
      </c>
      <c r="C1968" s="4" t="s">
        <v>1312</v>
      </c>
      <c r="D1968" s="4" t="s">
        <v>0</v>
      </c>
      <c r="E1968" s="4" t="s">
        <v>12</v>
      </c>
      <c r="F1968" s="2" t="s">
        <v>0</v>
      </c>
      <c r="G1968" s="2" t="str">
        <f>"07"</f>
        <v>07</v>
      </c>
      <c r="H1968" s="3">
        <v>1233</v>
      </c>
    </row>
    <row r="1969" spans="1:8" ht="29.25" x14ac:dyDescent="0.25">
      <c r="A1969" s="2" t="str">
        <f>"00052630"</f>
        <v>00052630</v>
      </c>
      <c r="B1969" s="2" t="str">
        <f t="shared" si="93"/>
        <v>SG</v>
      </c>
      <c r="C1969" s="4" t="s">
        <v>1313</v>
      </c>
      <c r="D1969" s="4" t="s">
        <v>0</v>
      </c>
      <c r="E1969" s="4" t="s">
        <v>12</v>
      </c>
      <c r="F1969" s="2" t="s">
        <v>0</v>
      </c>
      <c r="G1969" s="2" t="str">
        <f>"07"</f>
        <v>07</v>
      </c>
      <c r="H1969" s="3">
        <v>1233</v>
      </c>
    </row>
    <row r="1970" spans="1:8" ht="29.25" x14ac:dyDescent="0.25">
      <c r="A1970" s="2" t="str">
        <f>"00052640"</f>
        <v>00052640</v>
      </c>
      <c r="B1970" s="2" t="str">
        <f t="shared" si="93"/>
        <v>SG</v>
      </c>
      <c r="C1970" s="4" t="s">
        <v>1314</v>
      </c>
      <c r="D1970" s="4" t="s">
        <v>0</v>
      </c>
      <c r="E1970" s="4" t="s">
        <v>12</v>
      </c>
      <c r="F1970" s="2" t="s">
        <v>0</v>
      </c>
      <c r="G1970" s="2" t="str">
        <f>"03"</f>
        <v>03</v>
      </c>
      <c r="H1970" s="3">
        <v>637</v>
      </c>
    </row>
    <row r="1971" spans="1:8" ht="29.25" x14ac:dyDescent="0.25">
      <c r="A1971" s="2" t="str">
        <f>"00052647"</f>
        <v>00052647</v>
      </c>
      <c r="B1971" s="2" t="str">
        <f t="shared" si="93"/>
        <v>SG</v>
      </c>
      <c r="C1971" s="4" t="s">
        <v>1315</v>
      </c>
      <c r="D1971" s="4" t="s">
        <v>0</v>
      </c>
      <c r="E1971" s="4" t="s">
        <v>12</v>
      </c>
      <c r="F1971" s="2" t="s">
        <v>0</v>
      </c>
      <c r="G1971" s="2" t="str">
        <f>"07"</f>
        <v>07</v>
      </c>
      <c r="H1971" s="3">
        <v>1233</v>
      </c>
    </row>
    <row r="1972" spans="1:8" ht="29.25" x14ac:dyDescent="0.25">
      <c r="A1972" s="2" t="str">
        <f>"00052648"</f>
        <v>00052648</v>
      </c>
      <c r="B1972" s="2" t="str">
        <f t="shared" si="93"/>
        <v>SG</v>
      </c>
      <c r="C1972" s="4" t="s">
        <v>1315</v>
      </c>
      <c r="D1972" s="4" t="s">
        <v>0</v>
      </c>
      <c r="E1972" s="4" t="s">
        <v>12</v>
      </c>
      <c r="F1972" s="2" t="s">
        <v>0</v>
      </c>
      <c r="G1972" s="2" t="str">
        <f>"07"</f>
        <v>07</v>
      </c>
      <c r="H1972" s="3">
        <v>1233</v>
      </c>
    </row>
    <row r="1973" spans="1:8" ht="29.25" x14ac:dyDescent="0.25">
      <c r="A1973" s="2" t="str">
        <f>"00052700"</f>
        <v>00052700</v>
      </c>
      <c r="B1973" s="2" t="str">
        <f t="shared" si="93"/>
        <v>SG</v>
      </c>
      <c r="C1973" s="4" t="s">
        <v>1316</v>
      </c>
      <c r="D1973" s="4" t="s">
        <v>0</v>
      </c>
      <c r="E1973" s="4" t="s">
        <v>12</v>
      </c>
      <c r="F1973" s="2" t="s">
        <v>0</v>
      </c>
      <c r="G1973" s="2" t="str">
        <f>"03"</f>
        <v>03</v>
      </c>
      <c r="H1973" s="3">
        <v>637</v>
      </c>
    </row>
    <row r="1974" spans="1:8" x14ac:dyDescent="0.25">
      <c r="A1974" s="2" t="str">
        <f>"00053000"</f>
        <v>00053000</v>
      </c>
      <c r="B1974" s="2" t="str">
        <f t="shared" si="93"/>
        <v>SG</v>
      </c>
      <c r="C1974" s="4" t="s">
        <v>1317</v>
      </c>
      <c r="D1974" s="4" t="s">
        <v>0</v>
      </c>
      <c r="E1974" s="4" t="s">
        <v>12</v>
      </c>
      <c r="F1974" s="2" t="s">
        <v>0</v>
      </c>
      <c r="G1974" s="2" t="str">
        <f t="shared" ref="G1974:G1979" si="95">"02"</f>
        <v>02</v>
      </c>
      <c r="H1974" s="3">
        <v>552</v>
      </c>
    </row>
    <row r="1975" spans="1:8" x14ac:dyDescent="0.25">
      <c r="A1975" s="2" t="str">
        <f>"00053010"</f>
        <v>00053010</v>
      </c>
      <c r="B1975" s="2" t="str">
        <f t="shared" si="93"/>
        <v>SG</v>
      </c>
      <c r="C1975" s="4" t="s">
        <v>1317</v>
      </c>
      <c r="D1975" s="4" t="s">
        <v>0</v>
      </c>
      <c r="E1975" s="4" t="s">
        <v>12</v>
      </c>
      <c r="F1975" s="2" t="s">
        <v>0</v>
      </c>
      <c r="G1975" s="2" t="str">
        <f t="shared" si="95"/>
        <v>02</v>
      </c>
      <c r="H1975" s="3">
        <v>552</v>
      </c>
    </row>
    <row r="1976" spans="1:8" x14ac:dyDescent="0.25">
      <c r="A1976" s="2" t="str">
        <f>"00053020"</f>
        <v>00053020</v>
      </c>
      <c r="B1976" s="2" t="str">
        <f t="shared" si="93"/>
        <v>SG</v>
      </c>
      <c r="C1976" s="4" t="s">
        <v>1317</v>
      </c>
      <c r="D1976" s="4" t="s">
        <v>0</v>
      </c>
      <c r="E1976" s="4" t="s">
        <v>12</v>
      </c>
      <c r="F1976" s="2" t="s">
        <v>0</v>
      </c>
      <c r="G1976" s="2" t="str">
        <f t="shared" si="95"/>
        <v>02</v>
      </c>
      <c r="H1976" s="3">
        <v>552</v>
      </c>
    </row>
    <row r="1977" spans="1:8" ht="29.25" x14ac:dyDescent="0.25">
      <c r="A1977" s="2" t="str">
        <f>"00053040"</f>
        <v>00053040</v>
      </c>
      <c r="B1977" s="2" t="str">
        <f t="shared" si="93"/>
        <v>SG</v>
      </c>
      <c r="C1977" s="4" t="s">
        <v>1318</v>
      </c>
      <c r="D1977" s="4" t="s">
        <v>0</v>
      </c>
      <c r="E1977" s="4" t="s">
        <v>12</v>
      </c>
      <c r="F1977" s="2" t="s">
        <v>0</v>
      </c>
      <c r="G1977" s="2" t="str">
        <f t="shared" si="95"/>
        <v>02</v>
      </c>
      <c r="H1977" s="3">
        <v>552</v>
      </c>
    </row>
    <row r="1978" spans="1:8" ht="29.25" x14ac:dyDescent="0.25">
      <c r="A1978" s="2" t="str">
        <f>"00053080"</f>
        <v>00053080</v>
      </c>
      <c r="B1978" s="2" t="str">
        <f t="shared" si="93"/>
        <v>SG</v>
      </c>
      <c r="C1978" s="4" t="s">
        <v>1319</v>
      </c>
      <c r="D1978" s="4" t="s">
        <v>0</v>
      </c>
      <c r="E1978" s="4" t="s">
        <v>12</v>
      </c>
      <c r="F1978" s="2" t="s">
        <v>0</v>
      </c>
      <c r="G1978" s="2" t="str">
        <f t="shared" si="95"/>
        <v>02</v>
      </c>
      <c r="H1978" s="3">
        <v>552</v>
      </c>
    </row>
    <row r="1979" spans="1:8" x14ac:dyDescent="0.25">
      <c r="A1979" s="2" t="str">
        <f>"00053200"</f>
        <v>00053200</v>
      </c>
      <c r="B1979" s="2" t="str">
        <f t="shared" si="93"/>
        <v>SG</v>
      </c>
      <c r="C1979" s="4" t="s">
        <v>1320</v>
      </c>
      <c r="D1979" s="4" t="s">
        <v>0</v>
      </c>
      <c r="E1979" s="4" t="s">
        <v>12</v>
      </c>
      <c r="F1979" s="2" t="s">
        <v>0</v>
      </c>
      <c r="G1979" s="2" t="str">
        <f t="shared" si="95"/>
        <v>02</v>
      </c>
      <c r="H1979" s="3">
        <v>552</v>
      </c>
    </row>
    <row r="1980" spans="1:8" x14ac:dyDescent="0.25">
      <c r="A1980" s="2" t="str">
        <f>"00053210"</f>
        <v>00053210</v>
      </c>
      <c r="B1980" s="2" t="str">
        <f t="shared" si="93"/>
        <v>SG</v>
      </c>
      <c r="C1980" s="4" t="s">
        <v>1321</v>
      </c>
      <c r="D1980" s="4" t="s">
        <v>0</v>
      </c>
      <c r="E1980" s="4" t="s">
        <v>12</v>
      </c>
      <c r="F1980" s="2" t="s">
        <v>0</v>
      </c>
      <c r="G1980" s="2" t="str">
        <f>"03"</f>
        <v>03</v>
      </c>
      <c r="H1980" s="3">
        <v>637</v>
      </c>
    </row>
    <row r="1981" spans="1:8" x14ac:dyDescent="0.25">
      <c r="A1981" s="2" t="str">
        <f>"00053215"</f>
        <v>00053215</v>
      </c>
      <c r="B1981" s="2" t="str">
        <f t="shared" si="93"/>
        <v>SG</v>
      </c>
      <c r="C1981" s="4" t="s">
        <v>1321</v>
      </c>
      <c r="D1981" s="4" t="s">
        <v>0</v>
      </c>
      <c r="E1981" s="4" t="s">
        <v>12</v>
      </c>
      <c r="F1981" s="2" t="s">
        <v>0</v>
      </c>
      <c r="G1981" s="2" t="str">
        <f>"02"</f>
        <v>02</v>
      </c>
      <c r="H1981" s="3">
        <v>552</v>
      </c>
    </row>
    <row r="1982" spans="1:8" ht="29.25" x14ac:dyDescent="0.25">
      <c r="A1982" s="2" t="str">
        <f>"00053220"</f>
        <v>00053220</v>
      </c>
      <c r="B1982" s="2" t="str">
        <f t="shared" si="93"/>
        <v>SG</v>
      </c>
      <c r="C1982" s="4" t="s">
        <v>1322</v>
      </c>
      <c r="D1982" s="4" t="s">
        <v>0</v>
      </c>
      <c r="E1982" s="4" t="s">
        <v>12</v>
      </c>
      <c r="F1982" s="2" t="s">
        <v>0</v>
      </c>
      <c r="G1982" s="2" t="str">
        <f>"03"</f>
        <v>03</v>
      </c>
      <c r="H1982" s="3">
        <v>637</v>
      </c>
    </row>
    <row r="1983" spans="1:8" ht="29.25" x14ac:dyDescent="0.25">
      <c r="A1983" s="2" t="str">
        <f>"00053230"</f>
        <v>00053230</v>
      </c>
      <c r="B1983" s="2" t="str">
        <f t="shared" si="93"/>
        <v>SG</v>
      </c>
      <c r="C1983" s="4" t="s">
        <v>1323</v>
      </c>
      <c r="D1983" s="4" t="s">
        <v>0</v>
      </c>
      <c r="E1983" s="4" t="s">
        <v>12</v>
      </c>
      <c r="F1983" s="2" t="s">
        <v>0</v>
      </c>
      <c r="G1983" s="2" t="str">
        <f>"03"</f>
        <v>03</v>
      </c>
      <c r="H1983" s="3">
        <v>637</v>
      </c>
    </row>
    <row r="1984" spans="1:8" ht="29.25" x14ac:dyDescent="0.25">
      <c r="A1984" s="2" t="str">
        <f>"00053235"</f>
        <v>00053235</v>
      </c>
      <c r="B1984" s="2" t="str">
        <f t="shared" si="93"/>
        <v>SG</v>
      </c>
      <c r="C1984" s="4" t="s">
        <v>1323</v>
      </c>
      <c r="D1984" s="4" t="s">
        <v>0</v>
      </c>
      <c r="E1984" s="4" t="s">
        <v>12</v>
      </c>
      <c r="F1984" s="2" t="s">
        <v>0</v>
      </c>
      <c r="G1984" s="2" t="str">
        <f>"02"</f>
        <v>02</v>
      </c>
      <c r="H1984" s="3">
        <v>552</v>
      </c>
    </row>
    <row r="1985" spans="1:8" ht="29.25" x14ac:dyDescent="0.25">
      <c r="A1985" s="2" t="str">
        <f>"00053240"</f>
        <v>00053240</v>
      </c>
      <c r="B1985" s="2" t="str">
        <f t="shared" si="93"/>
        <v>SG</v>
      </c>
      <c r="C1985" s="4" t="s">
        <v>1324</v>
      </c>
      <c r="D1985" s="4" t="s">
        <v>0</v>
      </c>
      <c r="E1985" s="4" t="s">
        <v>12</v>
      </c>
      <c r="F1985" s="2" t="s">
        <v>0</v>
      </c>
      <c r="G1985" s="2" t="str">
        <f>"03"</f>
        <v>03</v>
      </c>
      <c r="H1985" s="3">
        <v>637</v>
      </c>
    </row>
    <row r="1986" spans="1:8" ht="29.25" x14ac:dyDescent="0.25">
      <c r="A1986" s="2" t="str">
        <f>"00053250"</f>
        <v>00053250</v>
      </c>
      <c r="B1986" s="2" t="str">
        <f t="shared" si="93"/>
        <v>SG</v>
      </c>
      <c r="C1986" s="4" t="s">
        <v>1325</v>
      </c>
      <c r="D1986" s="4" t="s">
        <v>0</v>
      </c>
      <c r="E1986" s="4" t="s">
        <v>12</v>
      </c>
      <c r="F1986" s="2" t="s">
        <v>0</v>
      </c>
      <c r="G1986" s="2" t="str">
        <f>"02"</f>
        <v>02</v>
      </c>
      <c r="H1986" s="3">
        <v>552</v>
      </c>
    </row>
    <row r="1987" spans="1:8" ht="29.25" x14ac:dyDescent="0.25">
      <c r="A1987" s="2" t="str">
        <f>"00053260"</f>
        <v>00053260</v>
      </c>
      <c r="B1987" s="2" t="str">
        <f t="shared" si="93"/>
        <v>SG</v>
      </c>
      <c r="C1987" s="4" t="s">
        <v>1322</v>
      </c>
      <c r="D1987" s="4" t="s">
        <v>0</v>
      </c>
      <c r="E1987" s="4" t="s">
        <v>12</v>
      </c>
      <c r="F1987" s="2" t="s">
        <v>0</v>
      </c>
      <c r="G1987" s="2" t="str">
        <f>"02"</f>
        <v>02</v>
      </c>
      <c r="H1987" s="3">
        <v>552</v>
      </c>
    </row>
    <row r="1988" spans="1:8" ht="29.25" x14ac:dyDescent="0.25">
      <c r="A1988" s="2" t="str">
        <f>"00053265"</f>
        <v>00053265</v>
      </c>
      <c r="B1988" s="2" t="str">
        <f t="shared" si="93"/>
        <v>SG</v>
      </c>
      <c r="C1988" s="4" t="s">
        <v>1322</v>
      </c>
      <c r="D1988" s="4" t="s">
        <v>0</v>
      </c>
      <c r="E1988" s="4" t="s">
        <v>12</v>
      </c>
      <c r="F1988" s="2" t="s">
        <v>0</v>
      </c>
      <c r="G1988" s="2" t="str">
        <f>"02"</f>
        <v>02</v>
      </c>
      <c r="H1988" s="3">
        <v>552</v>
      </c>
    </row>
    <row r="1989" spans="1:8" ht="29.25" x14ac:dyDescent="0.25">
      <c r="A1989" s="2" t="str">
        <f>"00053270"</f>
        <v>00053270</v>
      </c>
      <c r="B1989" s="2" t="str">
        <f t="shared" si="93"/>
        <v>SG</v>
      </c>
      <c r="C1989" s="4" t="s">
        <v>1325</v>
      </c>
      <c r="D1989" s="4" t="s">
        <v>0</v>
      </c>
      <c r="E1989" s="4" t="s">
        <v>12</v>
      </c>
      <c r="F1989" s="2" t="s">
        <v>0</v>
      </c>
      <c r="G1989" s="2" t="str">
        <f>"02"</f>
        <v>02</v>
      </c>
      <c r="H1989" s="3">
        <v>552</v>
      </c>
    </row>
    <row r="1990" spans="1:8" ht="29.25" x14ac:dyDescent="0.25">
      <c r="A1990" s="2" t="str">
        <f>"00053275"</f>
        <v>00053275</v>
      </c>
      <c r="B1990" s="2" t="str">
        <f t="shared" si="93"/>
        <v>SG</v>
      </c>
      <c r="C1990" s="4" t="s">
        <v>1326</v>
      </c>
      <c r="D1990" s="4" t="s">
        <v>0</v>
      </c>
      <c r="E1990" s="4" t="s">
        <v>12</v>
      </c>
      <c r="F1990" s="2" t="s">
        <v>0</v>
      </c>
      <c r="G1990" s="2" t="str">
        <f>"02"</f>
        <v>02</v>
      </c>
      <c r="H1990" s="3">
        <v>552</v>
      </c>
    </row>
    <row r="1991" spans="1:8" x14ac:dyDescent="0.25">
      <c r="A1991" s="2" t="str">
        <f>"00053400"</f>
        <v>00053400</v>
      </c>
      <c r="B1991" s="2" t="str">
        <f t="shared" si="93"/>
        <v>SG</v>
      </c>
      <c r="C1991" s="4" t="s">
        <v>1327</v>
      </c>
      <c r="D1991" s="4" t="s">
        <v>0</v>
      </c>
      <c r="E1991" s="4" t="s">
        <v>12</v>
      </c>
      <c r="F1991" s="2" t="s">
        <v>0</v>
      </c>
      <c r="G1991" s="2" t="str">
        <f t="shared" ref="G1991:G1997" si="96">"03"</f>
        <v>03</v>
      </c>
      <c r="H1991" s="3">
        <v>637</v>
      </c>
    </row>
    <row r="1992" spans="1:8" x14ac:dyDescent="0.25">
      <c r="A1992" s="2" t="str">
        <f>"00053405"</f>
        <v>00053405</v>
      </c>
      <c r="B1992" s="2" t="str">
        <f t="shared" si="93"/>
        <v>SG</v>
      </c>
      <c r="C1992" s="4" t="s">
        <v>1328</v>
      </c>
      <c r="D1992" s="4" t="s">
        <v>0</v>
      </c>
      <c r="E1992" s="4" t="s">
        <v>12</v>
      </c>
      <c r="F1992" s="2" t="s">
        <v>0</v>
      </c>
      <c r="G1992" s="2" t="str">
        <f t="shared" si="96"/>
        <v>03</v>
      </c>
      <c r="H1992" s="3">
        <v>637</v>
      </c>
    </row>
    <row r="1993" spans="1:8" ht="29.25" x14ac:dyDescent="0.25">
      <c r="A1993" s="2" t="str">
        <f>"00053410"</f>
        <v>00053410</v>
      </c>
      <c r="B1993" s="2" t="str">
        <f t="shared" si="93"/>
        <v>SG</v>
      </c>
      <c r="C1993" s="4" t="s">
        <v>1329</v>
      </c>
      <c r="D1993" s="4" t="s">
        <v>0</v>
      </c>
      <c r="E1993" s="4" t="s">
        <v>12</v>
      </c>
      <c r="F1993" s="2" t="s">
        <v>0</v>
      </c>
      <c r="G1993" s="2" t="str">
        <f t="shared" si="96"/>
        <v>03</v>
      </c>
      <c r="H1993" s="3">
        <v>637</v>
      </c>
    </row>
    <row r="1994" spans="1:8" ht="29.25" x14ac:dyDescent="0.25">
      <c r="A1994" s="2" t="str">
        <f>"00053420"</f>
        <v>00053420</v>
      </c>
      <c r="B1994" s="2" t="str">
        <f t="shared" si="93"/>
        <v>SG</v>
      </c>
      <c r="C1994" s="4" t="s">
        <v>1330</v>
      </c>
      <c r="D1994" s="4" t="s">
        <v>0</v>
      </c>
      <c r="E1994" s="4" t="s">
        <v>12</v>
      </c>
      <c r="F1994" s="2" t="s">
        <v>0</v>
      </c>
      <c r="G1994" s="2" t="str">
        <f t="shared" si="96"/>
        <v>03</v>
      </c>
      <c r="H1994" s="3">
        <v>637</v>
      </c>
    </row>
    <row r="1995" spans="1:8" ht="29.25" x14ac:dyDescent="0.25">
      <c r="A1995" s="2" t="str">
        <f>"00053425"</f>
        <v>00053425</v>
      </c>
      <c r="B1995" s="2" t="str">
        <f t="shared" si="93"/>
        <v>SG</v>
      </c>
      <c r="C1995" s="4" t="s">
        <v>1331</v>
      </c>
      <c r="D1995" s="4" t="s">
        <v>0</v>
      </c>
      <c r="E1995" s="4" t="s">
        <v>12</v>
      </c>
      <c r="F1995" s="2" t="s">
        <v>0</v>
      </c>
      <c r="G1995" s="2" t="str">
        <f t="shared" si="96"/>
        <v>03</v>
      </c>
      <c r="H1995" s="3">
        <v>637</v>
      </c>
    </row>
    <row r="1996" spans="1:8" ht="29.25" x14ac:dyDescent="0.25">
      <c r="A1996" s="2" t="str">
        <f>"00053430"</f>
        <v>00053430</v>
      </c>
      <c r="B1996" s="2" t="str">
        <f t="shared" si="93"/>
        <v>SG</v>
      </c>
      <c r="C1996" s="4" t="s">
        <v>1329</v>
      </c>
      <c r="D1996" s="4" t="s">
        <v>0</v>
      </c>
      <c r="E1996" s="4" t="s">
        <v>12</v>
      </c>
      <c r="F1996" s="2" t="s">
        <v>0</v>
      </c>
      <c r="G1996" s="2" t="str">
        <f t="shared" si="96"/>
        <v>03</v>
      </c>
      <c r="H1996" s="3">
        <v>637</v>
      </c>
    </row>
    <row r="1997" spans="1:8" ht="29.25" x14ac:dyDescent="0.25">
      <c r="A1997" s="2" t="str">
        <f>"00053431"</f>
        <v>00053431</v>
      </c>
      <c r="B1997" s="2" t="str">
        <f t="shared" ref="B1997:B2060" si="97">"SG"</f>
        <v>SG</v>
      </c>
      <c r="C1997" s="4" t="s">
        <v>1332</v>
      </c>
      <c r="D1997" s="4" t="s">
        <v>0</v>
      </c>
      <c r="E1997" s="4" t="s">
        <v>12</v>
      </c>
      <c r="F1997" s="2" t="s">
        <v>0</v>
      </c>
      <c r="G1997" s="2" t="str">
        <f t="shared" si="96"/>
        <v>03</v>
      </c>
      <c r="H1997" s="3">
        <v>637</v>
      </c>
    </row>
    <row r="1998" spans="1:8" x14ac:dyDescent="0.25">
      <c r="A1998" s="2" t="str">
        <f>"00053440"</f>
        <v>00053440</v>
      </c>
      <c r="B1998" s="2" t="str">
        <f t="shared" si="97"/>
        <v>SG</v>
      </c>
      <c r="C1998" s="4" t="s">
        <v>1333</v>
      </c>
      <c r="D1998" s="4" t="s">
        <v>0</v>
      </c>
      <c r="E1998" s="4" t="s">
        <v>12</v>
      </c>
      <c r="F1998" s="2" t="s">
        <v>0</v>
      </c>
      <c r="G1998" s="2" t="str">
        <f>"09"</f>
        <v>09</v>
      </c>
      <c r="H1998" s="3">
        <v>1662</v>
      </c>
    </row>
    <row r="1999" spans="1:8" ht="29.25" x14ac:dyDescent="0.25">
      <c r="A1999" s="2" t="str">
        <f>"00053442"</f>
        <v>00053442</v>
      </c>
      <c r="B1999" s="2" t="str">
        <f t="shared" si="97"/>
        <v>SG</v>
      </c>
      <c r="C1999" s="4" t="s">
        <v>1334</v>
      </c>
      <c r="D1999" s="4" t="s">
        <v>0</v>
      </c>
      <c r="E1999" s="4" t="s">
        <v>12</v>
      </c>
      <c r="F1999" s="2" t="s">
        <v>0</v>
      </c>
      <c r="G1999" s="2" t="str">
        <f>"03"</f>
        <v>03</v>
      </c>
      <c r="H1999" s="3">
        <v>637</v>
      </c>
    </row>
    <row r="2000" spans="1:8" x14ac:dyDescent="0.25">
      <c r="A2000" s="2" t="str">
        <f>"00053444"</f>
        <v>00053444</v>
      </c>
      <c r="B2000" s="2" t="str">
        <f t="shared" si="97"/>
        <v>SG</v>
      </c>
      <c r="C2000" s="4" t="s">
        <v>1335</v>
      </c>
      <c r="D2000" s="4" t="s">
        <v>0</v>
      </c>
      <c r="E2000" s="4" t="s">
        <v>12</v>
      </c>
      <c r="F2000" s="2" t="s">
        <v>0</v>
      </c>
      <c r="G2000" s="2" t="str">
        <f>"09"</f>
        <v>09</v>
      </c>
      <c r="H2000" s="3">
        <v>1662</v>
      </c>
    </row>
    <row r="2001" spans="1:8" ht="29.25" x14ac:dyDescent="0.25">
      <c r="A2001" s="2" t="str">
        <f>"00053445"</f>
        <v>00053445</v>
      </c>
      <c r="B2001" s="2" t="str">
        <f t="shared" si="97"/>
        <v>SG</v>
      </c>
      <c r="C2001" s="4" t="s">
        <v>1336</v>
      </c>
      <c r="D2001" s="4" t="s">
        <v>0</v>
      </c>
      <c r="E2001" s="4" t="s">
        <v>12</v>
      </c>
      <c r="F2001" s="2" t="s">
        <v>0</v>
      </c>
      <c r="G2001" s="2" t="str">
        <f>"09"</f>
        <v>09</v>
      </c>
      <c r="H2001" s="3">
        <v>1662</v>
      </c>
    </row>
    <row r="2002" spans="1:8" x14ac:dyDescent="0.25">
      <c r="A2002" s="2" t="str">
        <f>"00053446"</f>
        <v>00053446</v>
      </c>
      <c r="B2002" s="2" t="str">
        <f t="shared" si="97"/>
        <v>SG</v>
      </c>
      <c r="C2002" s="4" t="s">
        <v>1337</v>
      </c>
      <c r="D2002" s="4" t="s">
        <v>0</v>
      </c>
      <c r="E2002" s="4" t="s">
        <v>12</v>
      </c>
      <c r="F2002" s="2" t="s">
        <v>0</v>
      </c>
      <c r="G2002" s="2" t="str">
        <f>"03"</f>
        <v>03</v>
      </c>
      <c r="H2002" s="3">
        <v>637</v>
      </c>
    </row>
    <row r="2003" spans="1:8" ht="29.25" x14ac:dyDescent="0.25">
      <c r="A2003" s="2" t="str">
        <f>"00053447"</f>
        <v>00053447</v>
      </c>
      <c r="B2003" s="2" t="str">
        <f t="shared" si="97"/>
        <v>SG</v>
      </c>
      <c r="C2003" s="4" t="s">
        <v>1338</v>
      </c>
      <c r="D2003" s="4" t="s">
        <v>0</v>
      </c>
      <c r="E2003" s="4" t="s">
        <v>12</v>
      </c>
      <c r="F2003" s="2" t="s">
        <v>0</v>
      </c>
      <c r="G2003" s="2" t="str">
        <f>"09"</f>
        <v>09</v>
      </c>
      <c r="H2003" s="3">
        <v>1662</v>
      </c>
    </row>
    <row r="2004" spans="1:8" x14ac:dyDescent="0.25">
      <c r="A2004" s="2" t="str">
        <f>"00053449"</f>
        <v>00053449</v>
      </c>
      <c r="B2004" s="2" t="str">
        <f t="shared" si="97"/>
        <v>SG</v>
      </c>
      <c r="C2004" s="4" t="s">
        <v>1339</v>
      </c>
      <c r="D2004" s="4" t="s">
        <v>0</v>
      </c>
      <c r="E2004" s="4" t="s">
        <v>12</v>
      </c>
      <c r="F2004" s="2" t="s">
        <v>0</v>
      </c>
      <c r="G2004" s="2" t="str">
        <f>"03"</f>
        <v>03</v>
      </c>
      <c r="H2004" s="3">
        <v>637</v>
      </c>
    </row>
    <row r="2005" spans="1:8" x14ac:dyDescent="0.25">
      <c r="A2005" s="2" t="str">
        <f>"00053450"</f>
        <v>00053450</v>
      </c>
      <c r="B2005" s="2" t="str">
        <f t="shared" si="97"/>
        <v>SG</v>
      </c>
      <c r="C2005" s="4" t="s">
        <v>1340</v>
      </c>
      <c r="D2005" s="4" t="s">
        <v>0</v>
      </c>
      <c r="E2005" s="4" t="s">
        <v>12</v>
      </c>
      <c r="F2005" s="2" t="s">
        <v>0</v>
      </c>
      <c r="G2005" s="2" t="str">
        <f>"03"</f>
        <v>03</v>
      </c>
      <c r="H2005" s="3">
        <v>637</v>
      </c>
    </row>
    <row r="2006" spans="1:8" x14ac:dyDescent="0.25">
      <c r="A2006" s="2" t="str">
        <f>"00053460"</f>
        <v>00053460</v>
      </c>
      <c r="B2006" s="2" t="str">
        <f t="shared" si="97"/>
        <v>SG</v>
      </c>
      <c r="C2006" s="4" t="s">
        <v>1340</v>
      </c>
      <c r="D2006" s="4" t="s">
        <v>0</v>
      </c>
      <c r="E2006" s="4" t="s">
        <v>12</v>
      </c>
      <c r="F2006" s="2" t="s">
        <v>0</v>
      </c>
      <c r="G2006" s="2" t="str">
        <f>"01"</f>
        <v>01</v>
      </c>
      <c r="H2006" s="3">
        <v>413</v>
      </c>
    </row>
    <row r="2007" spans="1:8" ht="29.25" x14ac:dyDescent="0.25">
      <c r="A2007" s="2" t="str">
        <f>"00053502"</f>
        <v>00053502</v>
      </c>
      <c r="B2007" s="2" t="str">
        <f t="shared" si="97"/>
        <v>SG</v>
      </c>
      <c r="C2007" s="4" t="s">
        <v>1341</v>
      </c>
      <c r="D2007" s="4" t="s">
        <v>0</v>
      </c>
      <c r="E2007" s="4" t="s">
        <v>12</v>
      </c>
      <c r="F2007" s="2" t="s">
        <v>0</v>
      </c>
      <c r="G2007" s="2" t="str">
        <f>"01"</f>
        <v>01</v>
      </c>
      <c r="H2007" s="3">
        <v>413</v>
      </c>
    </row>
    <row r="2008" spans="1:8" ht="29.25" x14ac:dyDescent="0.25">
      <c r="A2008" s="2" t="str">
        <f>"00053505"</f>
        <v>00053505</v>
      </c>
      <c r="B2008" s="2" t="str">
        <f t="shared" si="97"/>
        <v>SG</v>
      </c>
      <c r="C2008" s="4" t="s">
        <v>1341</v>
      </c>
      <c r="D2008" s="4" t="s">
        <v>0</v>
      </c>
      <c r="E2008" s="4" t="s">
        <v>12</v>
      </c>
      <c r="F2008" s="2" t="s">
        <v>0</v>
      </c>
      <c r="G2008" s="2" t="str">
        <f>"03"</f>
        <v>03</v>
      </c>
      <c r="H2008" s="3">
        <v>637</v>
      </c>
    </row>
    <row r="2009" spans="1:8" ht="29.25" x14ac:dyDescent="0.25">
      <c r="A2009" s="2" t="str">
        <f>"00053510"</f>
        <v>00053510</v>
      </c>
      <c r="B2009" s="2" t="str">
        <f t="shared" si="97"/>
        <v>SG</v>
      </c>
      <c r="C2009" s="4" t="s">
        <v>1341</v>
      </c>
      <c r="D2009" s="4" t="s">
        <v>0</v>
      </c>
      <c r="E2009" s="4" t="s">
        <v>12</v>
      </c>
      <c r="F2009" s="2" t="s">
        <v>0</v>
      </c>
      <c r="G2009" s="2" t="str">
        <f>"02"</f>
        <v>02</v>
      </c>
      <c r="H2009" s="3">
        <v>552</v>
      </c>
    </row>
    <row r="2010" spans="1:8" ht="29.25" x14ac:dyDescent="0.25">
      <c r="A2010" s="2" t="str">
        <f>"00053515"</f>
        <v>00053515</v>
      </c>
      <c r="B2010" s="2" t="str">
        <f t="shared" si="97"/>
        <v>SG</v>
      </c>
      <c r="C2010" s="4" t="s">
        <v>1341</v>
      </c>
      <c r="D2010" s="4" t="s">
        <v>0</v>
      </c>
      <c r="E2010" s="4" t="s">
        <v>12</v>
      </c>
      <c r="F2010" s="2" t="s">
        <v>0</v>
      </c>
      <c r="G2010" s="2" t="str">
        <f>"03"</f>
        <v>03</v>
      </c>
      <c r="H2010" s="3">
        <v>637</v>
      </c>
    </row>
    <row r="2011" spans="1:8" ht="29.25" x14ac:dyDescent="0.25">
      <c r="A2011" s="2" t="str">
        <f>"00053520"</f>
        <v>00053520</v>
      </c>
      <c r="B2011" s="2" t="str">
        <f t="shared" si="97"/>
        <v>SG</v>
      </c>
      <c r="C2011" s="4" t="s">
        <v>1326</v>
      </c>
      <c r="D2011" s="4" t="s">
        <v>0</v>
      </c>
      <c r="E2011" s="4" t="s">
        <v>12</v>
      </c>
      <c r="F2011" s="2" t="s">
        <v>0</v>
      </c>
      <c r="G2011" s="2" t="str">
        <f>"03"</f>
        <v>03</v>
      </c>
      <c r="H2011" s="3">
        <v>637</v>
      </c>
    </row>
    <row r="2012" spans="1:8" ht="29.25" x14ac:dyDescent="0.25">
      <c r="A2012" s="2" t="str">
        <f>"00053605"</f>
        <v>00053605</v>
      </c>
      <c r="B2012" s="2" t="str">
        <f t="shared" si="97"/>
        <v>SG</v>
      </c>
      <c r="C2012" s="4" t="s">
        <v>1342</v>
      </c>
      <c r="D2012" s="4" t="s">
        <v>0</v>
      </c>
      <c r="E2012" s="4" t="s">
        <v>12</v>
      </c>
      <c r="F2012" s="2" t="s">
        <v>0</v>
      </c>
      <c r="G2012" s="2" t="str">
        <f>"01"</f>
        <v>01</v>
      </c>
      <c r="H2012" s="3">
        <v>413</v>
      </c>
    </row>
    <row r="2013" spans="1:8" x14ac:dyDescent="0.25">
      <c r="A2013" s="2" t="str">
        <f>"00053665"</f>
        <v>00053665</v>
      </c>
      <c r="B2013" s="2" t="str">
        <f t="shared" si="97"/>
        <v>SG</v>
      </c>
      <c r="C2013" s="4" t="s">
        <v>1343</v>
      </c>
      <c r="D2013" s="4" t="s">
        <v>0</v>
      </c>
      <c r="E2013" s="4" t="s">
        <v>12</v>
      </c>
      <c r="F2013" s="2" t="s">
        <v>0</v>
      </c>
      <c r="G2013" s="2" t="str">
        <f>"02"</f>
        <v>02</v>
      </c>
      <c r="H2013" s="3">
        <v>552</v>
      </c>
    </row>
    <row r="2014" spans="1:8" ht="57.75" x14ac:dyDescent="0.25">
      <c r="A2014" s="2" t="str">
        <f>"00053850"</f>
        <v>00053850</v>
      </c>
      <c r="B2014" s="2" t="str">
        <f t="shared" si="97"/>
        <v>SG</v>
      </c>
      <c r="C2014" s="4" t="s">
        <v>1344</v>
      </c>
      <c r="D2014" s="4" t="s">
        <v>0</v>
      </c>
      <c r="E2014" s="4" t="s">
        <v>12</v>
      </c>
      <c r="F2014" s="2" t="s">
        <v>0</v>
      </c>
      <c r="G2014" s="2" t="str">
        <f>"01"</f>
        <v>01</v>
      </c>
      <c r="H2014" s="3">
        <v>413</v>
      </c>
    </row>
    <row r="2015" spans="1:8" x14ac:dyDescent="0.25">
      <c r="A2015" s="2" t="str">
        <f>"00054000"</f>
        <v>00054000</v>
      </c>
      <c r="B2015" s="2" t="str">
        <f t="shared" si="97"/>
        <v>SG</v>
      </c>
      <c r="C2015" s="4" t="s">
        <v>1345</v>
      </c>
      <c r="D2015" s="4" t="s">
        <v>0</v>
      </c>
      <c r="E2015" s="4" t="s">
        <v>12</v>
      </c>
      <c r="F2015" s="2" t="s">
        <v>0</v>
      </c>
      <c r="G2015" s="2" t="str">
        <f>"02"</f>
        <v>02</v>
      </c>
      <c r="H2015" s="3">
        <v>552</v>
      </c>
    </row>
    <row r="2016" spans="1:8" x14ac:dyDescent="0.25">
      <c r="A2016" s="2" t="str">
        <f>"00054001"</f>
        <v>00054001</v>
      </c>
      <c r="B2016" s="2" t="str">
        <f t="shared" si="97"/>
        <v>SG</v>
      </c>
      <c r="C2016" s="4" t="s">
        <v>1345</v>
      </c>
      <c r="D2016" s="4" t="s">
        <v>0</v>
      </c>
      <c r="E2016" s="4" t="s">
        <v>12</v>
      </c>
      <c r="F2016" s="2" t="s">
        <v>0</v>
      </c>
      <c r="G2016" s="2" t="str">
        <f>"02"</f>
        <v>02</v>
      </c>
      <c r="H2016" s="3">
        <v>552</v>
      </c>
    </row>
    <row r="2017" spans="1:8" x14ac:dyDescent="0.25">
      <c r="A2017" s="2" t="str">
        <f>"00054015"</f>
        <v>00054015</v>
      </c>
      <c r="B2017" s="2" t="str">
        <f t="shared" si="97"/>
        <v>SG</v>
      </c>
      <c r="C2017" s="4" t="s">
        <v>1346</v>
      </c>
      <c r="D2017" s="4" t="s">
        <v>0</v>
      </c>
      <c r="E2017" s="4" t="s">
        <v>12</v>
      </c>
      <c r="F2017" s="2" t="s">
        <v>0</v>
      </c>
      <c r="G2017" s="2" t="str">
        <f>"02"</f>
        <v>02</v>
      </c>
      <c r="H2017" s="3">
        <v>552</v>
      </c>
    </row>
    <row r="2018" spans="1:8" ht="29.25" x14ac:dyDescent="0.25">
      <c r="A2018" s="2" t="str">
        <f>"00054057"</f>
        <v>00054057</v>
      </c>
      <c r="B2018" s="2" t="str">
        <f t="shared" si="97"/>
        <v>SG</v>
      </c>
      <c r="C2018" s="4" t="s">
        <v>1347</v>
      </c>
      <c r="D2018" s="4" t="s">
        <v>0</v>
      </c>
      <c r="E2018" s="4" t="s">
        <v>12</v>
      </c>
      <c r="F2018" s="2" t="s">
        <v>0</v>
      </c>
      <c r="G2018" s="2" t="str">
        <f>"01"</f>
        <v>01</v>
      </c>
      <c r="H2018" s="3">
        <v>413</v>
      </c>
    </row>
    <row r="2019" spans="1:8" ht="29.25" x14ac:dyDescent="0.25">
      <c r="A2019" s="2" t="str">
        <f>"00054060"</f>
        <v>00054060</v>
      </c>
      <c r="B2019" s="2" t="str">
        <f t="shared" si="97"/>
        <v>SG</v>
      </c>
      <c r="C2019" s="4" t="s">
        <v>1348</v>
      </c>
      <c r="D2019" s="4" t="s">
        <v>0</v>
      </c>
      <c r="E2019" s="4" t="s">
        <v>12</v>
      </c>
      <c r="F2019" s="2" t="s">
        <v>0</v>
      </c>
      <c r="G2019" s="2" t="str">
        <f>"01"</f>
        <v>01</v>
      </c>
      <c r="H2019" s="3">
        <v>413</v>
      </c>
    </row>
    <row r="2020" spans="1:8" ht="29.25" x14ac:dyDescent="0.25">
      <c r="A2020" s="2" t="str">
        <f>"00054065"</f>
        <v>00054065</v>
      </c>
      <c r="B2020" s="2" t="str">
        <f t="shared" si="97"/>
        <v>SG</v>
      </c>
      <c r="C2020" s="4" t="s">
        <v>1349</v>
      </c>
      <c r="D2020" s="4" t="s">
        <v>0</v>
      </c>
      <c r="E2020" s="4" t="s">
        <v>12</v>
      </c>
      <c r="F2020" s="2" t="s">
        <v>0</v>
      </c>
      <c r="G2020" s="2" t="str">
        <f>"01"</f>
        <v>01</v>
      </c>
      <c r="H2020" s="3">
        <v>413</v>
      </c>
    </row>
    <row r="2021" spans="1:8" x14ac:dyDescent="0.25">
      <c r="A2021" s="2" t="str">
        <f>"00054100"</f>
        <v>00054100</v>
      </c>
      <c r="B2021" s="2" t="str">
        <f t="shared" si="97"/>
        <v>SG</v>
      </c>
      <c r="C2021" s="4" t="s">
        <v>1350</v>
      </c>
      <c r="D2021" s="4" t="s">
        <v>0</v>
      </c>
      <c r="E2021" s="4" t="s">
        <v>12</v>
      </c>
      <c r="F2021" s="2" t="s">
        <v>0</v>
      </c>
      <c r="G2021" s="2" t="str">
        <f>"01"</f>
        <v>01</v>
      </c>
      <c r="H2021" s="3">
        <v>413</v>
      </c>
    </row>
    <row r="2022" spans="1:8" x14ac:dyDescent="0.25">
      <c r="A2022" s="2" t="str">
        <f>"00054105"</f>
        <v>00054105</v>
      </c>
      <c r="B2022" s="2" t="str">
        <f t="shared" si="97"/>
        <v>SG</v>
      </c>
      <c r="C2022" s="4" t="s">
        <v>1350</v>
      </c>
      <c r="D2022" s="4" t="s">
        <v>0</v>
      </c>
      <c r="E2022" s="4" t="s">
        <v>12</v>
      </c>
      <c r="F2022" s="2" t="s">
        <v>0</v>
      </c>
      <c r="G2022" s="2" t="str">
        <f>"02"</f>
        <v>02</v>
      </c>
      <c r="H2022" s="3">
        <v>552</v>
      </c>
    </row>
    <row r="2023" spans="1:8" ht="29.25" x14ac:dyDescent="0.25">
      <c r="A2023" s="2" t="str">
        <f>"00054110"</f>
        <v>00054110</v>
      </c>
      <c r="B2023" s="2" t="str">
        <f t="shared" si="97"/>
        <v>SG</v>
      </c>
      <c r="C2023" s="4" t="s">
        <v>1351</v>
      </c>
      <c r="D2023" s="4" t="s">
        <v>0</v>
      </c>
      <c r="E2023" s="4" t="s">
        <v>12</v>
      </c>
      <c r="F2023" s="2" t="s">
        <v>0</v>
      </c>
      <c r="G2023" s="2" t="str">
        <f>"06"</f>
        <v>06</v>
      </c>
      <c r="H2023" s="3">
        <v>1000</v>
      </c>
    </row>
    <row r="2024" spans="1:8" ht="29.25" x14ac:dyDescent="0.25">
      <c r="A2024" s="2" t="str">
        <f>"00054111"</f>
        <v>00054111</v>
      </c>
      <c r="B2024" s="2" t="str">
        <f t="shared" si="97"/>
        <v>SG</v>
      </c>
      <c r="C2024" s="4" t="s">
        <v>1352</v>
      </c>
      <c r="D2024" s="4" t="s">
        <v>0</v>
      </c>
      <c r="E2024" s="4" t="s">
        <v>12</v>
      </c>
      <c r="F2024" s="2" t="s">
        <v>0</v>
      </c>
      <c r="G2024" s="2" t="str">
        <f>"06"</f>
        <v>06</v>
      </c>
      <c r="H2024" s="3">
        <v>1000</v>
      </c>
    </row>
    <row r="2025" spans="1:8" ht="29.25" x14ac:dyDescent="0.25">
      <c r="A2025" s="2" t="str">
        <f>"00054112"</f>
        <v>00054112</v>
      </c>
      <c r="B2025" s="2" t="str">
        <f t="shared" si="97"/>
        <v>SG</v>
      </c>
      <c r="C2025" s="4" t="s">
        <v>1352</v>
      </c>
      <c r="D2025" s="4" t="s">
        <v>0</v>
      </c>
      <c r="E2025" s="4" t="s">
        <v>12</v>
      </c>
      <c r="F2025" s="2" t="s">
        <v>0</v>
      </c>
      <c r="G2025" s="2" t="str">
        <f>"06"</f>
        <v>06</v>
      </c>
      <c r="H2025" s="3">
        <v>1000</v>
      </c>
    </row>
    <row r="2026" spans="1:8" ht="29.25" x14ac:dyDescent="0.25">
      <c r="A2026" s="2" t="str">
        <f>"00054115"</f>
        <v>00054115</v>
      </c>
      <c r="B2026" s="2" t="str">
        <f t="shared" si="97"/>
        <v>SG</v>
      </c>
      <c r="C2026" s="4" t="s">
        <v>1351</v>
      </c>
      <c r="D2026" s="4" t="s">
        <v>0</v>
      </c>
      <c r="E2026" s="4" t="s">
        <v>12</v>
      </c>
      <c r="F2026" s="2" t="s">
        <v>0</v>
      </c>
      <c r="G2026" s="2" t="str">
        <f>"02"</f>
        <v>02</v>
      </c>
      <c r="H2026" s="3">
        <v>552</v>
      </c>
    </row>
    <row r="2027" spans="1:8" ht="29.25" x14ac:dyDescent="0.25">
      <c r="A2027" s="2" t="str">
        <f>"00054120"</f>
        <v>00054120</v>
      </c>
      <c r="B2027" s="2" t="str">
        <f t="shared" si="97"/>
        <v>SG</v>
      </c>
      <c r="C2027" s="4" t="s">
        <v>1353</v>
      </c>
      <c r="D2027" s="4" t="s">
        <v>0</v>
      </c>
      <c r="E2027" s="4" t="s">
        <v>12</v>
      </c>
      <c r="F2027" s="2" t="s">
        <v>0</v>
      </c>
      <c r="G2027" s="2" t="str">
        <f>"03"</f>
        <v>03</v>
      </c>
      <c r="H2027" s="3">
        <v>637</v>
      </c>
    </row>
    <row r="2028" spans="1:8" ht="29.25" x14ac:dyDescent="0.25">
      <c r="A2028" s="2" t="str">
        <f>"00054150"</f>
        <v>00054150</v>
      </c>
      <c r="B2028" s="2" t="str">
        <f t="shared" si="97"/>
        <v>SG</v>
      </c>
      <c r="C2028" s="4" t="s">
        <v>1354</v>
      </c>
      <c r="D2028" s="4" t="s">
        <v>0</v>
      </c>
      <c r="E2028" s="4" t="s">
        <v>12</v>
      </c>
      <c r="F2028" s="2" t="s">
        <v>0</v>
      </c>
      <c r="G2028" s="2" t="str">
        <f t="shared" ref="G2028:G2033" si="98">"02"</f>
        <v>02</v>
      </c>
      <c r="H2028" s="3">
        <v>552</v>
      </c>
    </row>
    <row r="2029" spans="1:8" x14ac:dyDescent="0.25">
      <c r="A2029" s="2" t="str">
        <f>"00054160"</f>
        <v>00054160</v>
      </c>
      <c r="B2029" s="2" t="str">
        <f t="shared" si="97"/>
        <v>SG</v>
      </c>
      <c r="C2029" s="4" t="s">
        <v>1355</v>
      </c>
      <c r="D2029" s="4" t="s">
        <v>0</v>
      </c>
      <c r="E2029" s="4" t="s">
        <v>12</v>
      </c>
      <c r="F2029" s="2" t="s">
        <v>0</v>
      </c>
      <c r="G2029" s="2" t="str">
        <f t="shared" si="98"/>
        <v>02</v>
      </c>
      <c r="H2029" s="3">
        <v>552</v>
      </c>
    </row>
    <row r="2030" spans="1:8" x14ac:dyDescent="0.25">
      <c r="A2030" s="2" t="str">
        <f>"00054161"</f>
        <v>00054161</v>
      </c>
      <c r="B2030" s="2" t="str">
        <f t="shared" si="97"/>
        <v>SG</v>
      </c>
      <c r="C2030" s="4" t="s">
        <v>1356</v>
      </c>
      <c r="D2030" s="4" t="s">
        <v>0</v>
      </c>
      <c r="E2030" s="4" t="s">
        <v>12</v>
      </c>
      <c r="F2030" s="2" t="s">
        <v>0</v>
      </c>
      <c r="G2030" s="2" t="str">
        <f t="shared" si="98"/>
        <v>02</v>
      </c>
      <c r="H2030" s="3">
        <v>552</v>
      </c>
    </row>
    <row r="2031" spans="1:8" ht="29.25" x14ac:dyDescent="0.25">
      <c r="A2031" s="2" t="str">
        <f>"00054162"</f>
        <v>00054162</v>
      </c>
      <c r="B2031" s="2" t="str">
        <f t="shared" si="97"/>
        <v>SG</v>
      </c>
      <c r="C2031" s="4" t="s">
        <v>1357</v>
      </c>
      <c r="D2031" s="4" t="s">
        <v>0</v>
      </c>
      <c r="E2031" s="4" t="s">
        <v>12</v>
      </c>
      <c r="F2031" s="2" t="s">
        <v>0</v>
      </c>
      <c r="G2031" s="2" t="str">
        <f t="shared" si="98"/>
        <v>02</v>
      </c>
      <c r="H2031" s="3">
        <v>552</v>
      </c>
    </row>
    <row r="2032" spans="1:8" x14ac:dyDescent="0.25">
      <c r="A2032" s="2" t="str">
        <f>"00054163"</f>
        <v>00054163</v>
      </c>
      <c r="B2032" s="2" t="str">
        <f t="shared" si="97"/>
        <v>SG</v>
      </c>
      <c r="C2032" s="4" t="s">
        <v>1358</v>
      </c>
      <c r="D2032" s="4" t="s">
        <v>0</v>
      </c>
      <c r="E2032" s="4" t="s">
        <v>12</v>
      </c>
      <c r="F2032" s="2" t="s">
        <v>0</v>
      </c>
      <c r="G2032" s="2" t="str">
        <f t="shared" si="98"/>
        <v>02</v>
      </c>
      <c r="H2032" s="3">
        <v>552</v>
      </c>
    </row>
    <row r="2033" spans="1:8" x14ac:dyDescent="0.25">
      <c r="A2033" s="2" t="str">
        <f>"00054164"</f>
        <v>00054164</v>
      </c>
      <c r="B2033" s="2" t="str">
        <f t="shared" si="97"/>
        <v>SG</v>
      </c>
      <c r="C2033" s="4" t="s">
        <v>1359</v>
      </c>
      <c r="D2033" s="4" t="s">
        <v>0</v>
      </c>
      <c r="E2033" s="4" t="s">
        <v>12</v>
      </c>
      <c r="F2033" s="2" t="s">
        <v>0</v>
      </c>
      <c r="G2033" s="2" t="str">
        <f t="shared" si="98"/>
        <v>02</v>
      </c>
      <c r="H2033" s="3">
        <v>552</v>
      </c>
    </row>
    <row r="2034" spans="1:8" ht="29.25" x14ac:dyDescent="0.25">
      <c r="A2034" s="2" t="str">
        <f>"00054205"</f>
        <v>00054205</v>
      </c>
      <c r="B2034" s="2" t="str">
        <f t="shared" si="97"/>
        <v>SG</v>
      </c>
      <c r="C2034" s="4" t="s">
        <v>1351</v>
      </c>
      <c r="D2034" s="4" t="s">
        <v>0</v>
      </c>
      <c r="E2034" s="4" t="s">
        <v>12</v>
      </c>
      <c r="F2034" s="2" t="s">
        <v>0</v>
      </c>
      <c r="G2034" s="2" t="str">
        <f>"04"</f>
        <v>04</v>
      </c>
      <c r="H2034" s="3">
        <v>785</v>
      </c>
    </row>
    <row r="2035" spans="1:8" ht="29.25" x14ac:dyDescent="0.25">
      <c r="A2035" s="2" t="str">
        <f>"00054220"</f>
        <v>00054220</v>
      </c>
      <c r="B2035" s="2" t="str">
        <f t="shared" si="97"/>
        <v>SG</v>
      </c>
      <c r="C2035" s="4" t="s">
        <v>1351</v>
      </c>
      <c r="D2035" s="4" t="s">
        <v>0</v>
      </c>
      <c r="E2035" s="4" t="s">
        <v>12</v>
      </c>
      <c r="F2035" s="2" t="s">
        <v>0</v>
      </c>
      <c r="G2035" s="2" t="str">
        <f>"01"</f>
        <v>01</v>
      </c>
      <c r="H2035" s="3">
        <v>413</v>
      </c>
    </row>
    <row r="2036" spans="1:8" x14ac:dyDescent="0.25">
      <c r="A2036" s="2" t="str">
        <f>"00054300"</f>
        <v>00054300</v>
      </c>
      <c r="B2036" s="2" t="str">
        <f t="shared" si="97"/>
        <v>SG</v>
      </c>
      <c r="C2036" s="4" t="s">
        <v>1360</v>
      </c>
      <c r="D2036" s="4" t="s">
        <v>0</v>
      </c>
      <c r="E2036" s="4" t="s">
        <v>12</v>
      </c>
      <c r="F2036" s="2" t="s">
        <v>0</v>
      </c>
      <c r="G2036" s="2" t="str">
        <f>"06"</f>
        <v>06</v>
      </c>
      <c r="H2036" s="3">
        <v>1000</v>
      </c>
    </row>
    <row r="2037" spans="1:8" x14ac:dyDescent="0.25">
      <c r="A2037" s="2" t="str">
        <f>"00054304"</f>
        <v>00054304</v>
      </c>
      <c r="B2037" s="2" t="str">
        <f t="shared" si="97"/>
        <v>SG</v>
      </c>
      <c r="C2037" s="4" t="s">
        <v>1360</v>
      </c>
      <c r="D2037" s="4" t="s">
        <v>0</v>
      </c>
      <c r="E2037" s="4" t="s">
        <v>12</v>
      </c>
      <c r="F2037" s="2" t="s">
        <v>0</v>
      </c>
      <c r="G2037" s="2" t="str">
        <f>"06"</f>
        <v>06</v>
      </c>
      <c r="H2037" s="3">
        <v>1000</v>
      </c>
    </row>
    <row r="2038" spans="1:8" ht="29.25" x14ac:dyDescent="0.25">
      <c r="A2038" s="2" t="str">
        <f>"00054308"</f>
        <v>00054308</v>
      </c>
      <c r="B2038" s="2" t="str">
        <f t="shared" si="97"/>
        <v>SG</v>
      </c>
      <c r="C2038" s="4" t="s">
        <v>1329</v>
      </c>
      <c r="D2038" s="4" t="s">
        <v>0</v>
      </c>
      <c r="E2038" s="4" t="s">
        <v>12</v>
      </c>
      <c r="F2038" s="2" t="s">
        <v>0</v>
      </c>
      <c r="G2038" s="2" t="str">
        <f>"06"</f>
        <v>06</v>
      </c>
      <c r="H2038" s="3">
        <v>1000</v>
      </c>
    </row>
    <row r="2039" spans="1:8" ht="29.25" x14ac:dyDescent="0.25">
      <c r="A2039" s="2" t="str">
        <f>"00054312"</f>
        <v>00054312</v>
      </c>
      <c r="B2039" s="2" t="str">
        <f t="shared" si="97"/>
        <v>SG</v>
      </c>
      <c r="C2039" s="4" t="s">
        <v>1329</v>
      </c>
      <c r="D2039" s="4" t="s">
        <v>0</v>
      </c>
      <c r="E2039" s="4" t="s">
        <v>12</v>
      </c>
      <c r="F2039" s="2" t="s">
        <v>0</v>
      </c>
      <c r="G2039" s="2" t="str">
        <f>"03"</f>
        <v>03</v>
      </c>
      <c r="H2039" s="3">
        <v>637</v>
      </c>
    </row>
    <row r="2040" spans="1:8" ht="29.25" x14ac:dyDescent="0.25">
      <c r="A2040" s="2" t="str">
        <f>"00054316"</f>
        <v>00054316</v>
      </c>
      <c r="B2040" s="2" t="str">
        <f t="shared" si="97"/>
        <v>SG</v>
      </c>
      <c r="C2040" s="4" t="s">
        <v>1329</v>
      </c>
      <c r="D2040" s="4" t="s">
        <v>0</v>
      </c>
      <c r="E2040" s="4" t="s">
        <v>12</v>
      </c>
      <c r="F2040" s="2" t="s">
        <v>0</v>
      </c>
      <c r="G2040" s="2" t="str">
        <f>"03"</f>
        <v>03</v>
      </c>
      <c r="H2040" s="3">
        <v>637</v>
      </c>
    </row>
    <row r="2041" spans="1:8" ht="29.25" x14ac:dyDescent="0.25">
      <c r="A2041" s="2" t="str">
        <f>"00054318"</f>
        <v>00054318</v>
      </c>
      <c r="B2041" s="2" t="str">
        <f t="shared" si="97"/>
        <v>SG</v>
      </c>
      <c r="C2041" s="4" t="s">
        <v>1329</v>
      </c>
      <c r="D2041" s="4" t="s">
        <v>0</v>
      </c>
      <c r="E2041" s="4" t="s">
        <v>12</v>
      </c>
      <c r="F2041" s="2" t="s">
        <v>0</v>
      </c>
      <c r="G2041" s="2" t="str">
        <f>"03"</f>
        <v>03</v>
      </c>
      <c r="H2041" s="3">
        <v>637</v>
      </c>
    </row>
    <row r="2042" spans="1:8" ht="29.25" x14ac:dyDescent="0.25">
      <c r="A2042" s="2" t="str">
        <f>"00054322"</f>
        <v>00054322</v>
      </c>
      <c r="B2042" s="2" t="str">
        <f t="shared" si="97"/>
        <v>SG</v>
      </c>
      <c r="C2042" s="4" t="s">
        <v>1329</v>
      </c>
      <c r="D2042" s="4" t="s">
        <v>0</v>
      </c>
      <c r="E2042" s="4" t="s">
        <v>12</v>
      </c>
      <c r="F2042" s="2" t="s">
        <v>0</v>
      </c>
      <c r="G2042" s="2" t="str">
        <f>"03"</f>
        <v>03</v>
      </c>
      <c r="H2042" s="3">
        <v>637</v>
      </c>
    </row>
    <row r="2043" spans="1:8" ht="29.25" x14ac:dyDescent="0.25">
      <c r="A2043" s="2" t="str">
        <f>"00054324"</f>
        <v>00054324</v>
      </c>
      <c r="B2043" s="2" t="str">
        <f t="shared" si="97"/>
        <v>SG</v>
      </c>
      <c r="C2043" s="4" t="s">
        <v>1329</v>
      </c>
      <c r="D2043" s="4" t="s">
        <v>0</v>
      </c>
      <c r="E2043" s="4" t="s">
        <v>12</v>
      </c>
      <c r="F2043" s="2" t="s">
        <v>0</v>
      </c>
      <c r="G2043" s="2" t="str">
        <f>"06"</f>
        <v>06</v>
      </c>
      <c r="H2043" s="3">
        <v>1000</v>
      </c>
    </row>
    <row r="2044" spans="1:8" ht="29.25" x14ac:dyDescent="0.25">
      <c r="A2044" s="2" t="str">
        <f>"00054326"</f>
        <v>00054326</v>
      </c>
      <c r="B2044" s="2" t="str">
        <f t="shared" si="97"/>
        <v>SG</v>
      </c>
      <c r="C2044" s="4" t="s">
        <v>1329</v>
      </c>
      <c r="D2044" s="4" t="s">
        <v>0</v>
      </c>
      <c r="E2044" s="4" t="s">
        <v>12</v>
      </c>
      <c r="F2044" s="2" t="s">
        <v>0</v>
      </c>
      <c r="G2044" s="2" t="str">
        <f>"03"</f>
        <v>03</v>
      </c>
      <c r="H2044" s="3">
        <v>637</v>
      </c>
    </row>
    <row r="2045" spans="1:8" x14ac:dyDescent="0.25">
      <c r="A2045" s="2" t="str">
        <f>"00054328"</f>
        <v>00054328</v>
      </c>
      <c r="B2045" s="2" t="str">
        <f t="shared" si="97"/>
        <v>SG</v>
      </c>
      <c r="C2045" s="4" t="s">
        <v>1361</v>
      </c>
      <c r="D2045" s="4" t="s">
        <v>0</v>
      </c>
      <c r="E2045" s="4" t="s">
        <v>12</v>
      </c>
      <c r="F2045" s="2" t="s">
        <v>0</v>
      </c>
      <c r="G2045" s="2" t="str">
        <f>"06"</f>
        <v>06</v>
      </c>
      <c r="H2045" s="3">
        <v>1000</v>
      </c>
    </row>
    <row r="2046" spans="1:8" ht="29.25" x14ac:dyDescent="0.25">
      <c r="A2046" s="2" t="str">
        <f>"00054340"</f>
        <v>00054340</v>
      </c>
      <c r="B2046" s="2" t="str">
        <f t="shared" si="97"/>
        <v>SG</v>
      </c>
      <c r="C2046" s="4" t="s">
        <v>1362</v>
      </c>
      <c r="D2046" s="4" t="s">
        <v>0</v>
      </c>
      <c r="E2046" s="4" t="s">
        <v>12</v>
      </c>
      <c r="F2046" s="2" t="s">
        <v>0</v>
      </c>
      <c r="G2046" s="2" t="str">
        <f>"03"</f>
        <v>03</v>
      </c>
      <c r="H2046" s="3">
        <v>637</v>
      </c>
    </row>
    <row r="2047" spans="1:8" ht="29.25" x14ac:dyDescent="0.25">
      <c r="A2047" s="2" t="str">
        <f>"00054344"</f>
        <v>00054344</v>
      </c>
      <c r="B2047" s="2" t="str">
        <f t="shared" si="97"/>
        <v>SG</v>
      </c>
      <c r="C2047" s="4" t="s">
        <v>1362</v>
      </c>
      <c r="D2047" s="4" t="s">
        <v>0</v>
      </c>
      <c r="E2047" s="4" t="s">
        <v>12</v>
      </c>
      <c r="F2047" s="2" t="s">
        <v>0</v>
      </c>
      <c r="G2047" s="2" t="str">
        <f>"03"</f>
        <v>03</v>
      </c>
      <c r="H2047" s="3">
        <v>637</v>
      </c>
    </row>
    <row r="2048" spans="1:8" ht="29.25" x14ac:dyDescent="0.25">
      <c r="A2048" s="2" t="str">
        <f>"00054348"</f>
        <v>00054348</v>
      </c>
      <c r="B2048" s="2" t="str">
        <f t="shared" si="97"/>
        <v>SG</v>
      </c>
      <c r="C2048" s="4" t="s">
        <v>1362</v>
      </c>
      <c r="D2048" s="4" t="s">
        <v>0</v>
      </c>
      <c r="E2048" s="4" t="s">
        <v>12</v>
      </c>
      <c r="F2048" s="2" t="s">
        <v>0</v>
      </c>
      <c r="G2048" s="2" t="str">
        <f>"03"</f>
        <v>03</v>
      </c>
      <c r="H2048" s="3">
        <v>637</v>
      </c>
    </row>
    <row r="2049" spans="1:8" ht="29.25" x14ac:dyDescent="0.25">
      <c r="A2049" s="2" t="str">
        <f>"00054352"</f>
        <v>00054352</v>
      </c>
      <c r="B2049" s="2" t="str">
        <f t="shared" si="97"/>
        <v>SG</v>
      </c>
      <c r="C2049" s="4" t="s">
        <v>1363</v>
      </c>
      <c r="D2049" s="4" t="s">
        <v>0</v>
      </c>
      <c r="E2049" s="4" t="s">
        <v>12</v>
      </c>
      <c r="F2049" s="2" t="s">
        <v>0</v>
      </c>
      <c r="G2049" s="2" t="str">
        <f>"06"</f>
        <v>06</v>
      </c>
      <c r="H2049" s="3">
        <v>1000</v>
      </c>
    </row>
    <row r="2050" spans="1:8" x14ac:dyDescent="0.25">
      <c r="A2050" s="2" t="str">
        <f>"00054360"</f>
        <v>00054360</v>
      </c>
      <c r="B2050" s="2" t="str">
        <f t="shared" si="97"/>
        <v>SG</v>
      </c>
      <c r="C2050" s="4" t="s">
        <v>1364</v>
      </c>
      <c r="D2050" s="4" t="s">
        <v>0</v>
      </c>
      <c r="E2050" s="4" t="s">
        <v>12</v>
      </c>
      <c r="F2050" s="2" t="s">
        <v>0</v>
      </c>
      <c r="G2050" s="2" t="str">
        <f>"06"</f>
        <v>06</v>
      </c>
      <c r="H2050" s="3">
        <v>1000</v>
      </c>
    </row>
    <row r="2051" spans="1:8" x14ac:dyDescent="0.25">
      <c r="A2051" s="2" t="str">
        <f>"00054380"</f>
        <v>00054380</v>
      </c>
      <c r="B2051" s="2" t="str">
        <f t="shared" si="97"/>
        <v>SG</v>
      </c>
      <c r="C2051" s="4" t="s">
        <v>1365</v>
      </c>
      <c r="D2051" s="4" t="s">
        <v>0</v>
      </c>
      <c r="E2051" s="4" t="s">
        <v>12</v>
      </c>
      <c r="F2051" s="2" t="s">
        <v>0</v>
      </c>
      <c r="G2051" s="2" t="str">
        <f t="shared" ref="G2051:G2063" si="99">"03"</f>
        <v>03</v>
      </c>
      <c r="H2051" s="3">
        <v>637</v>
      </c>
    </row>
    <row r="2052" spans="1:8" x14ac:dyDescent="0.25">
      <c r="A2052" s="2" t="str">
        <f>"00054385"</f>
        <v>00054385</v>
      </c>
      <c r="B2052" s="2" t="str">
        <f t="shared" si="97"/>
        <v>SG</v>
      </c>
      <c r="C2052" s="4" t="s">
        <v>1365</v>
      </c>
      <c r="D2052" s="4" t="s">
        <v>0</v>
      </c>
      <c r="E2052" s="4" t="s">
        <v>12</v>
      </c>
      <c r="F2052" s="2" t="s">
        <v>0</v>
      </c>
      <c r="G2052" s="2" t="str">
        <f t="shared" si="99"/>
        <v>03</v>
      </c>
      <c r="H2052" s="3">
        <v>637</v>
      </c>
    </row>
    <row r="2053" spans="1:8" ht="29.25" x14ac:dyDescent="0.25">
      <c r="A2053" s="2" t="str">
        <f>"00054400"</f>
        <v>00054400</v>
      </c>
      <c r="B2053" s="2" t="str">
        <f t="shared" si="97"/>
        <v>SG</v>
      </c>
      <c r="C2053" s="4" t="s">
        <v>1366</v>
      </c>
      <c r="D2053" s="4" t="s">
        <v>0</v>
      </c>
      <c r="E2053" s="4" t="s">
        <v>1367</v>
      </c>
      <c r="F2053" s="2" t="s">
        <v>0</v>
      </c>
      <c r="G2053" s="2" t="str">
        <f t="shared" si="99"/>
        <v>03</v>
      </c>
      <c r="H2053" s="2" t="s">
        <v>16</v>
      </c>
    </row>
    <row r="2054" spans="1:8" ht="29.25" x14ac:dyDescent="0.25">
      <c r="A2054" s="2" t="str">
        <f>"00054401"</f>
        <v>00054401</v>
      </c>
      <c r="B2054" s="2" t="str">
        <f t="shared" si="97"/>
        <v>SG</v>
      </c>
      <c r="C2054" s="4" t="s">
        <v>1368</v>
      </c>
      <c r="D2054" s="4" t="s">
        <v>0</v>
      </c>
      <c r="E2054" s="4" t="s">
        <v>1367</v>
      </c>
      <c r="F2054" s="2" t="s">
        <v>0</v>
      </c>
      <c r="G2054" s="2" t="str">
        <f t="shared" si="99"/>
        <v>03</v>
      </c>
      <c r="H2054" s="2" t="s">
        <v>16</v>
      </c>
    </row>
    <row r="2055" spans="1:8" ht="29.25" x14ac:dyDescent="0.25">
      <c r="A2055" s="2" t="str">
        <f>"00054405"</f>
        <v>00054405</v>
      </c>
      <c r="B2055" s="2" t="str">
        <f t="shared" si="97"/>
        <v>SG</v>
      </c>
      <c r="C2055" s="4" t="s">
        <v>1369</v>
      </c>
      <c r="D2055" s="4" t="s">
        <v>0</v>
      </c>
      <c r="E2055" s="4" t="s">
        <v>1367</v>
      </c>
      <c r="F2055" s="2" t="s">
        <v>0</v>
      </c>
      <c r="G2055" s="2" t="str">
        <f t="shared" si="99"/>
        <v>03</v>
      </c>
      <c r="H2055" s="2" t="s">
        <v>16</v>
      </c>
    </row>
    <row r="2056" spans="1:8" ht="29.25" x14ac:dyDescent="0.25">
      <c r="A2056" s="2" t="str">
        <f>"00054406"</f>
        <v>00054406</v>
      </c>
      <c r="B2056" s="2" t="str">
        <f t="shared" si="97"/>
        <v>SG</v>
      </c>
      <c r="C2056" s="4" t="s">
        <v>1370</v>
      </c>
      <c r="D2056" s="4" t="s">
        <v>0</v>
      </c>
      <c r="E2056" s="4" t="s">
        <v>12</v>
      </c>
      <c r="F2056" s="2" t="s">
        <v>0</v>
      </c>
      <c r="G2056" s="2" t="str">
        <f t="shared" si="99"/>
        <v>03</v>
      </c>
      <c r="H2056" s="3">
        <v>637</v>
      </c>
    </row>
    <row r="2057" spans="1:8" ht="29.25" x14ac:dyDescent="0.25">
      <c r="A2057" s="2" t="str">
        <f>"00054408"</f>
        <v>00054408</v>
      </c>
      <c r="B2057" s="2" t="str">
        <f t="shared" si="97"/>
        <v>SG</v>
      </c>
      <c r="C2057" s="4" t="s">
        <v>1371</v>
      </c>
      <c r="D2057" s="4" t="s">
        <v>0</v>
      </c>
      <c r="E2057" s="4" t="s">
        <v>1367</v>
      </c>
      <c r="F2057" s="2" t="s">
        <v>0</v>
      </c>
      <c r="G2057" s="2" t="str">
        <f t="shared" si="99"/>
        <v>03</v>
      </c>
      <c r="H2057" s="2" t="s">
        <v>16</v>
      </c>
    </row>
    <row r="2058" spans="1:8" ht="29.25" x14ac:dyDescent="0.25">
      <c r="A2058" s="2" t="str">
        <f>"00054410"</f>
        <v>00054410</v>
      </c>
      <c r="B2058" s="2" t="str">
        <f t="shared" si="97"/>
        <v>SG</v>
      </c>
      <c r="C2058" s="4" t="s">
        <v>1372</v>
      </c>
      <c r="D2058" s="4" t="s">
        <v>0</v>
      </c>
      <c r="E2058" s="4" t="s">
        <v>1367</v>
      </c>
      <c r="F2058" s="2" t="s">
        <v>0</v>
      </c>
      <c r="G2058" s="2" t="str">
        <f t="shared" si="99"/>
        <v>03</v>
      </c>
      <c r="H2058" s="2" t="s">
        <v>16</v>
      </c>
    </row>
    <row r="2059" spans="1:8" ht="29.25" x14ac:dyDescent="0.25">
      <c r="A2059" s="2" t="str">
        <f>"00054415"</f>
        <v>00054415</v>
      </c>
      <c r="B2059" s="2" t="str">
        <f t="shared" si="97"/>
        <v>SG</v>
      </c>
      <c r="C2059" s="4" t="s">
        <v>1373</v>
      </c>
      <c r="D2059" s="4" t="s">
        <v>0</v>
      </c>
      <c r="E2059" s="4" t="s">
        <v>12</v>
      </c>
      <c r="F2059" s="2" t="s">
        <v>0</v>
      </c>
      <c r="G2059" s="2" t="str">
        <f t="shared" si="99"/>
        <v>03</v>
      </c>
      <c r="H2059" s="3">
        <v>637</v>
      </c>
    </row>
    <row r="2060" spans="1:8" ht="29.25" x14ac:dyDescent="0.25">
      <c r="A2060" s="2" t="str">
        <f>"00054416"</f>
        <v>00054416</v>
      </c>
      <c r="B2060" s="2" t="str">
        <f t="shared" si="97"/>
        <v>SG</v>
      </c>
      <c r="C2060" s="4" t="s">
        <v>1374</v>
      </c>
      <c r="D2060" s="4" t="s">
        <v>0</v>
      </c>
      <c r="E2060" s="4" t="s">
        <v>1367</v>
      </c>
      <c r="F2060" s="2" t="s">
        <v>0</v>
      </c>
      <c r="G2060" s="2" t="str">
        <f t="shared" si="99"/>
        <v>03</v>
      </c>
      <c r="H2060" s="2" t="s">
        <v>16</v>
      </c>
    </row>
    <row r="2061" spans="1:8" x14ac:dyDescent="0.25">
      <c r="A2061" s="2" t="str">
        <f>"00054420"</f>
        <v>00054420</v>
      </c>
      <c r="B2061" s="2" t="str">
        <f t="shared" ref="B2061:B2124" si="100">"SG"</f>
        <v>SG</v>
      </c>
      <c r="C2061" s="4" t="s">
        <v>1360</v>
      </c>
      <c r="D2061" s="4" t="s">
        <v>0</v>
      </c>
      <c r="E2061" s="4" t="s">
        <v>12</v>
      </c>
      <c r="F2061" s="2" t="s">
        <v>0</v>
      </c>
      <c r="G2061" s="2" t="str">
        <f t="shared" si="99"/>
        <v>03</v>
      </c>
      <c r="H2061" s="3">
        <v>637</v>
      </c>
    </row>
    <row r="2062" spans="1:8" x14ac:dyDescent="0.25">
      <c r="A2062" s="2" t="str">
        <f>"00054435"</f>
        <v>00054435</v>
      </c>
      <c r="B2062" s="2" t="str">
        <f t="shared" si="100"/>
        <v>SG</v>
      </c>
      <c r="C2062" s="4" t="s">
        <v>1360</v>
      </c>
      <c r="D2062" s="4" t="s">
        <v>0</v>
      </c>
      <c r="E2062" s="4" t="s">
        <v>12</v>
      </c>
      <c r="F2062" s="2" t="s">
        <v>0</v>
      </c>
      <c r="G2062" s="2" t="str">
        <f t="shared" si="99"/>
        <v>03</v>
      </c>
      <c r="H2062" s="3">
        <v>637</v>
      </c>
    </row>
    <row r="2063" spans="1:8" x14ac:dyDescent="0.25">
      <c r="A2063" s="2" t="str">
        <f>"00054440"</f>
        <v>00054440</v>
      </c>
      <c r="B2063" s="2" t="str">
        <f t="shared" si="100"/>
        <v>SG</v>
      </c>
      <c r="C2063" s="4" t="s">
        <v>1375</v>
      </c>
      <c r="D2063" s="4" t="s">
        <v>0</v>
      </c>
      <c r="E2063" s="4" t="s">
        <v>12</v>
      </c>
      <c r="F2063" s="2" t="s">
        <v>0</v>
      </c>
      <c r="G2063" s="2" t="str">
        <f t="shared" si="99"/>
        <v>03</v>
      </c>
      <c r="H2063" s="3">
        <v>637</v>
      </c>
    </row>
    <row r="2064" spans="1:8" x14ac:dyDescent="0.25">
      <c r="A2064" s="2" t="str">
        <f>"00054450"</f>
        <v>00054450</v>
      </c>
      <c r="B2064" s="2" t="str">
        <f t="shared" si="100"/>
        <v>SG</v>
      </c>
      <c r="C2064" s="4" t="s">
        <v>1376</v>
      </c>
      <c r="D2064" s="4" t="s">
        <v>0</v>
      </c>
      <c r="E2064" s="4" t="s">
        <v>12</v>
      </c>
      <c r="F2064" s="2" t="s">
        <v>0</v>
      </c>
      <c r="G2064" s="2" t="str">
        <f>"01"</f>
        <v>01</v>
      </c>
      <c r="H2064" s="3">
        <v>413</v>
      </c>
    </row>
    <row r="2065" spans="1:8" x14ac:dyDescent="0.25">
      <c r="A2065" s="2" t="str">
        <f>"00054500"</f>
        <v>00054500</v>
      </c>
      <c r="B2065" s="2" t="str">
        <f t="shared" si="100"/>
        <v>SG</v>
      </c>
      <c r="C2065" s="4" t="s">
        <v>1377</v>
      </c>
      <c r="D2065" s="4" t="s">
        <v>0</v>
      </c>
      <c r="E2065" s="4" t="s">
        <v>12</v>
      </c>
      <c r="F2065" s="2" t="s">
        <v>0</v>
      </c>
      <c r="G2065" s="2" t="str">
        <f>"01"</f>
        <v>01</v>
      </c>
      <c r="H2065" s="3">
        <v>413</v>
      </c>
    </row>
    <row r="2066" spans="1:8" x14ac:dyDescent="0.25">
      <c r="A2066" s="2" t="str">
        <f>"00054505"</f>
        <v>00054505</v>
      </c>
      <c r="B2066" s="2" t="str">
        <f t="shared" si="100"/>
        <v>SG</v>
      </c>
      <c r="C2066" s="4" t="s">
        <v>1377</v>
      </c>
      <c r="D2066" s="4" t="s">
        <v>0</v>
      </c>
      <c r="E2066" s="4" t="s">
        <v>12</v>
      </c>
      <c r="F2066" s="2" t="s">
        <v>0</v>
      </c>
      <c r="G2066" s="2" t="str">
        <f>"02"</f>
        <v>02</v>
      </c>
      <c r="H2066" s="3">
        <v>552</v>
      </c>
    </row>
    <row r="2067" spans="1:8" x14ac:dyDescent="0.25">
      <c r="A2067" s="2" t="str">
        <f>"00054512"</f>
        <v>00054512</v>
      </c>
      <c r="B2067" s="2" t="str">
        <f t="shared" si="100"/>
        <v>SG</v>
      </c>
      <c r="C2067" s="4" t="s">
        <v>1378</v>
      </c>
      <c r="D2067" s="4" t="s">
        <v>0</v>
      </c>
      <c r="E2067" s="4" t="s">
        <v>12</v>
      </c>
      <c r="F2067" s="2" t="s">
        <v>0</v>
      </c>
      <c r="G2067" s="2" t="str">
        <f>"02"</f>
        <v>02</v>
      </c>
      <c r="H2067" s="3">
        <v>552</v>
      </c>
    </row>
    <row r="2068" spans="1:8" x14ac:dyDescent="0.25">
      <c r="A2068" s="2" t="str">
        <f>"00054520"</f>
        <v>00054520</v>
      </c>
      <c r="B2068" s="2" t="str">
        <f t="shared" si="100"/>
        <v>SG</v>
      </c>
      <c r="C2068" s="4" t="s">
        <v>1379</v>
      </c>
      <c r="D2068" s="4" t="s">
        <v>0</v>
      </c>
      <c r="E2068" s="4" t="s">
        <v>12</v>
      </c>
      <c r="F2068" s="2" t="s">
        <v>0</v>
      </c>
      <c r="G2068" s="2" t="str">
        <f>"03"</f>
        <v>03</v>
      </c>
      <c r="H2068" s="3">
        <v>637</v>
      </c>
    </row>
    <row r="2069" spans="1:8" x14ac:dyDescent="0.25">
      <c r="A2069" s="2" t="str">
        <f>"00054522"</f>
        <v>00054522</v>
      </c>
      <c r="B2069" s="2" t="str">
        <f t="shared" si="100"/>
        <v>SG</v>
      </c>
      <c r="C2069" s="4" t="s">
        <v>1380</v>
      </c>
      <c r="D2069" s="4" t="s">
        <v>0</v>
      </c>
      <c r="E2069" s="4" t="s">
        <v>12</v>
      </c>
      <c r="F2069" s="2" t="s">
        <v>0</v>
      </c>
      <c r="G2069" s="2" t="str">
        <f>"02"</f>
        <v>02</v>
      </c>
      <c r="H2069" s="3">
        <v>552</v>
      </c>
    </row>
    <row r="2070" spans="1:8" x14ac:dyDescent="0.25">
      <c r="A2070" s="2" t="str">
        <f>"00054530"</f>
        <v>00054530</v>
      </c>
      <c r="B2070" s="2" t="str">
        <f t="shared" si="100"/>
        <v>SG</v>
      </c>
      <c r="C2070" s="4" t="s">
        <v>1379</v>
      </c>
      <c r="D2070" s="4" t="s">
        <v>0</v>
      </c>
      <c r="E2070" s="4" t="s">
        <v>12</v>
      </c>
      <c r="F2070" s="2" t="s">
        <v>0</v>
      </c>
      <c r="G2070" s="2" t="str">
        <f>"04"</f>
        <v>04</v>
      </c>
      <c r="H2070" s="3">
        <v>785</v>
      </c>
    </row>
    <row r="2071" spans="1:8" x14ac:dyDescent="0.25">
      <c r="A2071" s="2" t="str">
        <f>"00054550"</f>
        <v>00054550</v>
      </c>
      <c r="B2071" s="2" t="str">
        <f t="shared" si="100"/>
        <v>SG</v>
      </c>
      <c r="C2071" s="4" t="s">
        <v>1381</v>
      </c>
      <c r="D2071" s="4" t="s">
        <v>0</v>
      </c>
      <c r="E2071" s="4" t="s">
        <v>12</v>
      </c>
      <c r="F2071" s="2" t="s">
        <v>0</v>
      </c>
      <c r="G2071" s="2" t="str">
        <f>"04"</f>
        <v>04</v>
      </c>
      <c r="H2071" s="3">
        <v>785</v>
      </c>
    </row>
    <row r="2072" spans="1:8" x14ac:dyDescent="0.25">
      <c r="A2072" s="2" t="str">
        <f>"00054600"</f>
        <v>00054600</v>
      </c>
      <c r="B2072" s="2" t="str">
        <f t="shared" si="100"/>
        <v>SG</v>
      </c>
      <c r="C2072" s="4" t="s">
        <v>1382</v>
      </c>
      <c r="D2072" s="4" t="s">
        <v>0</v>
      </c>
      <c r="E2072" s="4" t="s">
        <v>12</v>
      </c>
      <c r="F2072" s="2" t="s">
        <v>0</v>
      </c>
      <c r="G2072" s="2" t="str">
        <f>"02"</f>
        <v>02</v>
      </c>
      <c r="H2072" s="3">
        <v>552</v>
      </c>
    </row>
    <row r="2073" spans="1:8" x14ac:dyDescent="0.25">
      <c r="A2073" s="2" t="str">
        <f>"00054620"</f>
        <v>00054620</v>
      </c>
      <c r="B2073" s="2" t="str">
        <f t="shared" si="100"/>
        <v>SG</v>
      </c>
      <c r="C2073" s="4" t="s">
        <v>1383</v>
      </c>
      <c r="D2073" s="4" t="s">
        <v>0</v>
      </c>
      <c r="E2073" s="4" t="s">
        <v>12</v>
      </c>
      <c r="F2073" s="2" t="s">
        <v>0</v>
      </c>
      <c r="G2073" s="2" t="str">
        <f>"02"</f>
        <v>02</v>
      </c>
      <c r="H2073" s="3">
        <v>552</v>
      </c>
    </row>
    <row r="2074" spans="1:8" x14ac:dyDescent="0.25">
      <c r="A2074" s="2" t="str">
        <f>"00054640"</f>
        <v>00054640</v>
      </c>
      <c r="B2074" s="2" t="str">
        <f t="shared" si="100"/>
        <v>SG</v>
      </c>
      <c r="C2074" s="4" t="s">
        <v>1383</v>
      </c>
      <c r="D2074" s="4" t="s">
        <v>0</v>
      </c>
      <c r="E2074" s="4" t="s">
        <v>12</v>
      </c>
      <c r="F2074" s="2" t="s">
        <v>0</v>
      </c>
      <c r="G2074" s="2" t="str">
        <f>"04"</f>
        <v>04</v>
      </c>
      <c r="H2074" s="3">
        <v>785</v>
      </c>
    </row>
    <row r="2075" spans="1:8" x14ac:dyDescent="0.25">
      <c r="A2075" s="2" t="str">
        <f>"00054660"</f>
        <v>00054660</v>
      </c>
      <c r="B2075" s="2" t="str">
        <f t="shared" si="100"/>
        <v>SG</v>
      </c>
      <c r="C2075" s="4" t="s">
        <v>1384</v>
      </c>
      <c r="D2075" s="4" t="s">
        <v>101</v>
      </c>
      <c r="E2075" s="4" t="s">
        <v>12</v>
      </c>
      <c r="F2075" s="2" t="s">
        <v>0</v>
      </c>
      <c r="G2075" s="2" t="str">
        <f>"02"</f>
        <v>02</v>
      </c>
      <c r="H2075" s="3">
        <v>552</v>
      </c>
    </row>
    <row r="2076" spans="1:8" x14ac:dyDescent="0.25">
      <c r="A2076" s="2" t="str">
        <f>"00054670"</f>
        <v>00054670</v>
      </c>
      <c r="B2076" s="2" t="str">
        <f t="shared" si="100"/>
        <v>SG</v>
      </c>
      <c r="C2076" s="4" t="s">
        <v>1385</v>
      </c>
      <c r="D2076" s="4" t="s">
        <v>0</v>
      </c>
      <c r="E2076" s="4" t="s">
        <v>12</v>
      </c>
      <c r="F2076" s="2" t="s">
        <v>0</v>
      </c>
      <c r="G2076" s="2" t="str">
        <f>"02"</f>
        <v>02</v>
      </c>
      <c r="H2076" s="3">
        <v>552</v>
      </c>
    </row>
    <row r="2077" spans="1:8" ht="29.25" x14ac:dyDescent="0.25">
      <c r="A2077" s="2" t="str">
        <f>"00054680"</f>
        <v>00054680</v>
      </c>
      <c r="B2077" s="2" t="str">
        <f t="shared" si="100"/>
        <v>SG</v>
      </c>
      <c r="C2077" s="4" t="s">
        <v>1386</v>
      </c>
      <c r="D2077" s="4" t="s">
        <v>0</v>
      </c>
      <c r="E2077" s="4" t="s">
        <v>12</v>
      </c>
      <c r="F2077" s="2" t="s">
        <v>0</v>
      </c>
      <c r="G2077" s="2" t="str">
        <f>"02"</f>
        <v>02</v>
      </c>
      <c r="H2077" s="3">
        <v>552</v>
      </c>
    </row>
    <row r="2078" spans="1:8" ht="29.25" x14ac:dyDescent="0.25">
      <c r="A2078" s="2" t="str">
        <f>"00054690"</f>
        <v>00054690</v>
      </c>
      <c r="B2078" s="2" t="str">
        <f t="shared" si="100"/>
        <v>SG</v>
      </c>
      <c r="C2078" s="4" t="s">
        <v>1387</v>
      </c>
      <c r="D2078" s="4" t="s">
        <v>0</v>
      </c>
      <c r="E2078" s="4" t="s">
        <v>12</v>
      </c>
      <c r="F2078" s="2" t="s">
        <v>0</v>
      </c>
      <c r="G2078" s="2" t="str">
        <f>"09"</f>
        <v>09</v>
      </c>
      <c r="H2078" s="3">
        <v>1662</v>
      </c>
    </row>
    <row r="2079" spans="1:8" x14ac:dyDescent="0.25">
      <c r="A2079" s="2" t="str">
        <f>"00054700"</f>
        <v>00054700</v>
      </c>
      <c r="B2079" s="2" t="str">
        <f t="shared" si="100"/>
        <v>SG</v>
      </c>
      <c r="C2079" s="4" t="s">
        <v>1388</v>
      </c>
      <c r="D2079" s="4" t="s">
        <v>0</v>
      </c>
      <c r="E2079" s="4" t="s">
        <v>12</v>
      </c>
      <c r="F2079" s="2" t="s">
        <v>0</v>
      </c>
      <c r="G2079" s="2" t="str">
        <f>"02"</f>
        <v>02</v>
      </c>
      <c r="H2079" s="3">
        <v>552</v>
      </c>
    </row>
    <row r="2080" spans="1:8" x14ac:dyDescent="0.25">
      <c r="A2080" s="2" t="str">
        <f>"00054800"</f>
        <v>00054800</v>
      </c>
      <c r="B2080" s="2" t="str">
        <f t="shared" si="100"/>
        <v>SG</v>
      </c>
      <c r="C2080" s="4" t="s">
        <v>1389</v>
      </c>
      <c r="D2080" s="4" t="s">
        <v>0</v>
      </c>
      <c r="E2080" s="4" t="s">
        <v>12</v>
      </c>
      <c r="F2080" s="2" t="s">
        <v>0</v>
      </c>
      <c r="G2080" s="2" t="str">
        <f>"01"</f>
        <v>01</v>
      </c>
      <c r="H2080" s="3">
        <v>413</v>
      </c>
    </row>
    <row r="2081" spans="1:8" ht="29.25" x14ac:dyDescent="0.25">
      <c r="A2081" s="2" t="str">
        <f>"00054830"</f>
        <v>00054830</v>
      </c>
      <c r="B2081" s="2" t="str">
        <f t="shared" si="100"/>
        <v>SG</v>
      </c>
      <c r="C2081" s="4" t="s">
        <v>1390</v>
      </c>
      <c r="D2081" s="4" t="s">
        <v>0</v>
      </c>
      <c r="E2081" s="4" t="s">
        <v>12</v>
      </c>
      <c r="F2081" s="2" t="s">
        <v>0</v>
      </c>
      <c r="G2081" s="2" t="str">
        <f t="shared" ref="G2081:G2087" si="101">"02"</f>
        <v>02</v>
      </c>
      <c r="H2081" s="3">
        <v>552</v>
      </c>
    </row>
    <row r="2082" spans="1:8" ht="29.25" x14ac:dyDescent="0.25">
      <c r="A2082" s="2" t="str">
        <f>"00054840"</f>
        <v>00054840</v>
      </c>
      <c r="B2082" s="2" t="str">
        <f t="shared" si="100"/>
        <v>SG</v>
      </c>
      <c r="C2082" s="4" t="s">
        <v>1390</v>
      </c>
      <c r="D2082" s="4" t="s">
        <v>0</v>
      </c>
      <c r="E2082" s="4" t="s">
        <v>12</v>
      </c>
      <c r="F2082" s="2" t="s">
        <v>0</v>
      </c>
      <c r="G2082" s="2" t="str">
        <f t="shared" si="101"/>
        <v>02</v>
      </c>
      <c r="H2082" s="3">
        <v>552</v>
      </c>
    </row>
    <row r="2083" spans="1:8" x14ac:dyDescent="0.25">
      <c r="A2083" s="2" t="str">
        <f>"00054860"</f>
        <v>00054860</v>
      </c>
      <c r="B2083" s="2" t="str">
        <f t="shared" si="100"/>
        <v>SG</v>
      </c>
      <c r="C2083" s="4" t="s">
        <v>1391</v>
      </c>
      <c r="D2083" s="4" t="s">
        <v>0</v>
      </c>
      <c r="E2083" s="4" t="s">
        <v>12</v>
      </c>
      <c r="F2083" s="2" t="s">
        <v>0</v>
      </c>
      <c r="G2083" s="2" t="str">
        <f t="shared" si="101"/>
        <v>02</v>
      </c>
      <c r="H2083" s="3">
        <v>552</v>
      </c>
    </row>
    <row r="2084" spans="1:8" x14ac:dyDescent="0.25">
      <c r="A2084" s="2" t="str">
        <f>"00054861"</f>
        <v>00054861</v>
      </c>
      <c r="B2084" s="2" t="str">
        <f t="shared" si="100"/>
        <v>SG</v>
      </c>
      <c r="C2084" s="4" t="s">
        <v>1391</v>
      </c>
      <c r="D2084" s="4" t="s">
        <v>0</v>
      </c>
      <c r="E2084" s="4" t="s">
        <v>12</v>
      </c>
      <c r="F2084" s="2" t="s">
        <v>0</v>
      </c>
      <c r="G2084" s="2" t="str">
        <f t="shared" si="101"/>
        <v>02</v>
      </c>
      <c r="H2084" s="3">
        <v>552</v>
      </c>
    </row>
    <row r="2085" spans="1:8" x14ac:dyDescent="0.25">
      <c r="A2085" s="2" t="str">
        <f>"00054865"</f>
        <v>00054865</v>
      </c>
      <c r="B2085" s="2" t="str">
        <f t="shared" si="100"/>
        <v>SG</v>
      </c>
      <c r="C2085" s="4" t="s">
        <v>1392</v>
      </c>
      <c r="D2085" s="4" t="s">
        <v>0</v>
      </c>
      <c r="E2085" s="4" t="s">
        <v>12</v>
      </c>
      <c r="F2085" s="2" t="s">
        <v>0</v>
      </c>
      <c r="G2085" s="2" t="str">
        <f t="shared" si="101"/>
        <v>02</v>
      </c>
      <c r="H2085" s="3">
        <v>552</v>
      </c>
    </row>
    <row r="2086" spans="1:8" ht="29.25" x14ac:dyDescent="0.25">
      <c r="A2086" s="2" t="str">
        <f>"00054900"</f>
        <v>00054900</v>
      </c>
      <c r="B2086" s="2" t="str">
        <f t="shared" si="100"/>
        <v>SG</v>
      </c>
      <c r="C2086" s="4" t="s">
        <v>1393</v>
      </c>
      <c r="D2086" s="4" t="s">
        <v>0</v>
      </c>
      <c r="E2086" s="4" t="s">
        <v>12</v>
      </c>
      <c r="F2086" s="2" t="s">
        <v>0</v>
      </c>
      <c r="G2086" s="2" t="str">
        <f t="shared" si="101"/>
        <v>02</v>
      </c>
      <c r="H2086" s="3">
        <v>552</v>
      </c>
    </row>
    <row r="2087" spans="1:8" ht="29.25" x14ac:dyDescent="0.25">
      <c r="A2087" s="2" t="str">
        <f>"00054901"</f>
        <v>00054901</v>
      </c>
      <c r="B2087" s="2" t="str">
        <f t="shared" si="100"/>
        <v>SG</v>
      </c>
      <c r="C2087" s="4" t="s">
        <v>1393</v>
      </c>
      <c r="D2087" s="4" t="s">
        <v>0</v>
      </c>
      <c r="E2087" s="4" t="s">
        <v>12</v>
      </c>
      <c r="F2087" s="2" t="s">
        <v>0</v>
      </c>
      <c r="G2087" s="2" t="str">
        <f t="shared" si="101"/>
        <v>02</v>
      </c>
      <c r="H2087" s="3">
        <v>552</v>
      </c>
    </row>
    <row r="2088" spans="1:8" x14ac:dyDescent="0.25">
      <c r="A2088" s="2" t="str">
        <f>"00055040"</f>
        <v>00055040</v>
      </c>
      <c r="B2088" s="2" t="str">
        <f t="shared" si="100"/>
        <v>SG</v>
      </c>
      <c r="C2088" s="4" t="s">
        <v>1394</v>
      </c>
      <c r="D2088" s="4" t="s">
        <v>0</v>
      </c>
      <c r="E2088" s="4" t="s">
        <v>12</v>
      </c>
      <c r="F2088" s="2" t="s">
        <v>0</v>
      </c>
      <c r="G2088" s="2" t="str">
        <f>"03"</f>
        <v>03</v>
      </c>
      <c r="H2088" s="3">
        <v>637</v>
      </c>
    </row>
    <row r="2089" spans="1:8" x14ac:dyDescent="0.25">
      <c r="A2089" s="2" t="str">
        <f>"00055041"</f>
        <v>00055041</v>
      </c>
      <c r="B2089" s="2" t="str">
        <f t="shared" si="100"/>
        <v>SG</v>
      </c>
      <c r="C2089" s="4" t="s">
        <v>1395</v>
      </c>
      <c r="D2089" s="4" t="s">
        <v>0</v>
      </c>
      <c r="E2089" s="4" t="s">
        <v>12</v>
      </c>
      <c r="F2089" s="2" t="s">
        <v>0</v>
      </c>
      <c r="G2089" s="2" t="str">
        <f>"03"</f>
        <v>03</v>
      </c>
      <c r="H2089" s="3">
        <v>637</v>
      </c>
    </row>
    <row r="2090" spans="1:8" x14ac:dyDescent="0.25">
      <c r="A2090" s="2" t="str">
        <f>"00055060"</f>
        <v>00055060</v>
      </c>
      <c r="B2090" s="2" t="str">
        <f t="shared" si="100"/>
        <v>SG</v>
      </c>
      <c r="C2090" s="4" t="s">
        <v>1396</v>
      </c>
      <c r="D2090" s="4" t="s">
        <v>0</v>
      </c>
      <c r="E2090" s="4" t="s">
        <v>12</v>
      </c>
      <c r="F2090" s="2" t="s">
        <v>0</v>
      </c>
      <c r="G2090" s="2" t="str">
        <f>"02"</f>
        <v>02</v>
      </c>
      <c r="H2090" s="3">
        <v>552</v>
      </c>
    </row>
    <row r="2091" spans="1:8" ht="29.25" x14ac:dyDescent="0.25">
      <c r="A2091" s="2" t="str">
        <f>"00055100"</f>
        <v>00055100</v>
      </c>
      <c r="B2091" s="2" t="str">
        <f t="shared" si="100"/>
        <v>SG</v>
      </c>
      <c r="C2091" s="4" t="s">
        <v>1397</v>
      </c>
      <c r="D2091" s="4" t="s">
        <v>0</v>
      </c>
      <c r="E2091" s="4" t="s">
        <v>12</v>
      </c>
      <c r="F2091" s="2" t="s">
        <v>0</v>
      </c>
      <c r="G2091" s="2" t="str">
        <f>"01"</f>
        <v>01</v>
      </c>
      <c r="H2091" s="3">
        <v>413</v>
      </c>
    </row>
    <row r="2092" spans="1:8" x14ac:dyDescent="0.25">
      <c r="A2092" s="2" t="str">
        <f>"00055110"</f>
        <v>00055110</v>
      </c>
      <c r="B2092" s="2" t="str">
        <f t="shared" si="100"/>
        <v>SG</v>
      </c>
      <c r="C2092" s="4" t="s">
        <v>1398</v>
      </c>
      <c r="D2092" s="4" t="s">
        <v>0</v>
      </c>
      <c r="E2092" s="4" t="s">
        <v>12</v>
      </c>
      <c r="F2092" s="2" t="s">
        <v>0</v>
      </c>
      <c r="G2092" s="2" t="str">
        <f>"02"</f>
        <v>02</v>
      </c>
      <c r="H2092" s="3">
        <v>552</v>
      </c>
    </row>
    <row r="2093" spans="1:8" ht="29.25" x14ac:dyDescent="0.25">
      <c r="A2093" s="2" t="str">
        <f>"00055120"</f>
        <v>00055120</v>
      </c>
      <c r="B2093" s="2" t="str">
        <f t="shared" si="100"/>
        <v>SG</v>
      </c>
      <c r="C2093" s="4" t="s">
        <v>1399</v>
      </c>
      <c r="D2093" s="4" t="s">
        <v>0</v>
      </c>
      <c r="E2093" s="4" t="s">
        <v>12</v>
      </c>
      <c r="F2093" s="2" t="s">
        <v>0</v>
      </c>
      <c r="G2093" s="2" t="str">
        <f>"02"</f>
        <v>02</v>
      </c>
      <c r="H2093" s="3">
        <v>552</v>
      </c>
    </row>
    <row r="2094" spans="1:8" x14ac:dyDescent="0.25">
      <c r="A2094" s="2" t="str">
        <f>"00055150"</f>
        <v>00055150</v>
      </c>
      <c r="B2094" s="2" t="str">
        <f t="shared" si="100"/>
        <v>SG</v>
      </c>
      <c r="C2094" s="4" t="s">
        <v>1400</v>
      </c>
      <c r="D2094" s="4" t="s">
        <v>0</v>
      </c>
      <c r="E2094" s="4" t="s">
        <v>12</v>
      </c>
      <c r="F2094" s="2" t="s">
        <v>0</v>
      </c>
      <c r="G2094" s="2" t="str">
        <f>"01"</f>
        <v>01</v>
      </c>
      <c r="H2094" s="3">
        <v>413</v>
      </c>
    </row>
    <row r="2095" spans="1:8" x14ac:dyDescent="0.25">
      <c r="A2095" s="2" t="str">
        <f>"00055175"</f>
        <v>00055175</v>
      </c>
      <c r="B2095" s="2" t="str">
        <f t="shared" si="100"/>
        <v>SG</v>
      </c>
      <c r="C2095" s="4" t="s">
        <v>1401</v>
      </c>
      <c r="D2095" s="4" t="s">
        <v>0</v>
      </c>
      <c r="E2095" s="4" t="s">
        <v>12</v>
      </c>
      <c r="F2095" s="2" t="s">
        <v>0</v>
      </c>
      <c r="G2095" s="2" t="str">
        <f>"07"</f>
        <v>07</v>
      </c>
      <c r="H2095" s="3">
        <v>1233</v>
      </c>
    </row>
    <row r="2096" spans="1:8" x14ac:dyDescent="0.25">
      <c r="A2096" s="2" t="str">
        <f>"00055180"</f>
        <v>00055180</v>
      </c>
      <c r="B2096" s="2" t="str">
        <f t="shared" si="100"/>
        <v>SG</v>
      </c>
      <c r="C2096" s="4" t="s">
        <v>1401</v>
      </c>
      <c r="D2096" s="4" t="s">
        <v>0</v>
      </c>
      <c r="E2096" s="4" t="s">
        <v>12</v>
      </c>
      <c r="F2096" s="2" t="s">
        <v>0</v>
      </c>
      <c r="G2096" s="2" t="str">
        <f>"02"</f>
        <v>02</v>
      </c>
      <c r="H2096" s="3">
        <v>552</v>
      </c>
    </row>
    <row r="2097" spans="1:8" x14ac:dyDescent="0.25">
      <c r="A2097" s="2" t="str">
        <f>"00055200"</f>
        <v>00055200</v>
      </c>
      <c r="B2097" s="2" t="str">
        <f t="shared" si="100"/>
        <v>SG</v>
      </c>
      <c r="C2097" s="4" t="s">
        <v>1402</v>
      </c>
      <c r="D2097" s="4" t="s">
        <v>0</v>
      </c>
      <c r="E2097" s="4" t="s">
        <v>12</v>
      </c>
      <c r="F2097" s="2" t="s">
        <v>0</v>
      </c>
      <c r="G2097" s="2" t="str">
        <f>"02"</f>
        <v>02</v>
      </c>
      <c r="H2097" s="3">
        <v>552</v>
      </c>
    </row>
    <row r="2098" spans="1:8" ht="29.25" x14ac:dyDescent="0.25">
      <c r="A2098" s="2" t="str">
        <f>"00055250"</f>
        <v>00055250</v>
      </c>
      <c r="B2098" s="2" t="str">
        <f t="shared" si="100"/>
        <v>SG</v>
      </c>
      <c r="C2098" s="4" t="s">
        <v>1403</v>
      </c>
      <c r="D2098" s="4" t="s">
        <v>0</v>
      </c>
      <c r="E2098" s="4" t="s">
        <v>12</v>
      </c>
      <c r="F2098" s="2" t="s">
        <v>0</v>
      </c>
      <c r="G2098" s="2" t="str">
        <f>"02"</f>
        <v>02</v>
      </c>
      <c r="H2098" s="3">
        <v>552</v>
      </c>
    </row>
    <row r="2099" spans="1:8" x14ac:dyDescent="0.25">
      <c r="A2099" s="2" t="str">
        <f>"00055400"</f>
        <v>00055400</v>
      </c>
      <c r="B2099" s="2" t="str">
        <f t="shared" si="100"/>
        <v>SG</v>
      </c>
      <c r="C2099" s="4" t="s">
        <v>1404</v>
      </c>
      <c r="D2099" s="4" t="s">
        <v>101</v>
      </c>
      <c r="E2099" s="4" t="s">
        <v>12</v>
      </c>
      <c r="F2099" s="2" t="s">
        <v>0</v>
      </c>
      <c r="G2099" s="2" t="str">
        <f>"01"</f>
        <v>01</v>
      </c>
      <c r="H2099" s="3">
        <v>413</v>
      </c>
    </row>
    <row r="2100" spans="1:8" x14ac:dyDescent="0.25">
      <c r="A2100" s="2" t="str">
        <f>"00055500"</f>
        <v>00055500</v>
      </c>
      <c r="B2100" s="2" t="str">
        <f t="shared" si="100"/>
        <v>SG</v>
      </c>
      <c r="C2100" s="4" t="s">
        <v>1394</v>
      </c>
      <c r="D2100" s="4" t="s">
        <v>0</v>
      </c>
      <c r="E2100" s="4" t="s">
        <v>12</v>
      </c>
      <c r="F2100" s="2" t="s">
        <v>0</v>
      </c>
      <c r="G2100" s="2" t="str">
        <f>"03"</f>
        <v>03</v>
      </c>
      <c r="H2100" s="3">
        <v>637</v>
      </c>
    </row>
    <row r="2101" spans="1:8" ht="29.25" x14ac:dyDescent="0.25">
      <c r="A2101" s="2" t="str">
        <f>"00055520"</f>
        <v>00055520</v>
      </c>
      <c r="B2101" s="2" t="str">
        <f t="shared" si="100"/>
        <v>SG</v>
      </c>
      <c r="C2101" s="4" t="s">
        <v>1405</v>
      </c>
      <c r="D2101" s="4" t="s">
        <v>0</v>
      </c>
      <c r="E2101" s="4" t="s">
        <v>12</v>
      </c>
      <c r="F2101" s="2" t="s">
        <v>0</v>
      </c>
      <c r="G2101" s="2" t="str">
        <f>"02"</f>
        <v>02</v>
      </c>
      <c r="H2101" s="3">
        <v>552</v>
      </c>
    </row>
    <row r="2102" spans="1:8" ht="29.25" x14ac:dyDescent="0.25">
      <c r="A2102" s="2" t="str">
        <f>"00055530"</f>
        <v>00055530</v>
      </c>
      <c r="B2102" s="2" t="str">
        <f t="shared" si="100"/>
        <v>SG</v>
      </c>
      <c r="C2102" s="4" t="s">
        <v>1406</v>
      </c>
      <c r="D2102" s="4" t="s">
        <v>0</v>
      </c>
      <c r="E2102" s="4" t="s">
        <v>12</v>
      </c>
      <c r="F2102" s="2" t="s">
        <v>0</v>
      </c>
      <c r="G2102" s="2" t="str">
        <f>"02"</f>
        <v>02</v>
      </c>
      <c r="H2102" s="3">
        <v>552</v>
      </c>
    </row>
    <row r="2103" spans="1:8" ht="29.25" x14ac:dyDescent="0.25">
      <c r="A2103" s="2" t="str">
        <f>"00055535"</f>
        <v>00055535</v>
      </c>
      <c r="B2103" s="2" t="str">
        <f t="shared" si="100"/>
        <v>SG</v>
      </c>
      <c r="C2103" s="4" t="s">
        <v>1406</v>
      </c>
      <c r="D2103" s="4" t="s">
        <v>0</v>
      </c>
      <c r="E2103" s="4" t="s">
        <v>12</v>
      </c>
      <c r="F2103" s="2" t="s">
        <v>0</v>
      </c>
      <c r="G2103" s="2" t="str">
        <f>"04"</f>
        <v>04</v>
      </c>
      <c r="H2103" s="3">
        <v>785</v>
      </c>
    </row>
    <row r="2104" spans="1:8" ht="29.25" x14ac:dyDescent="0.25">
      <c r="A2104" s="2" t="str">
        <f>"00055540"</f>
        <v>00055540</v>
      </c>
      <c r="B2104" s="2" t="str">
        <f t="shared" si="100"/>
        <v>SG</v>
      </c>
      <c r="C2104" s="4" t="s">
        <v>1407</v>
      </c>
      <c r="D2104" s="4" t="s">
        <v>0</v>
      </c>
      <c r="E2104" s="4" t="s">
        <v>12</v>
      </c>
      <c r="F2104" s="2" t="s">
        <v>0</v>
      </c>
      <c r="G2104" s="2" t="str">
        <f>"04"</f>
        <v>04</v>
      </c>
      <c r="H2104" s="3">
        <v>785</v>
      </c>
    </row>
    <row r="2105" spans="1:8" ht="29.25" x14ac:dyDescent="0.25">
      <c r="A2105" s="2" t="str">
        <f>"00055550"</f>
        <v>00055550</v>
      </c>
      <c r="B2105" s="2" t="str">
        <f t="shared" si="100"/>
        <v>SG</v>
      </c>
      <c r="C2105" s="4" t="s">
        <v>1408</v>
      </c>
      <c r="D2105" s="4" t="s">
        <v>0</v>
      </c>
      <c r="E2105" s="4" t="s">
        <v>12</v>
      </c>
      <c r="F2105" s="2" t="s">
        <v>0</v>
      </c>
      <c r="G2105" s="2" t="str">
        <f>"09"</f>
        <v>09</v>
      </c>
      <c r="H2105" s="3">
        <v>1662</v>
      </c>
    </row>
    <row r="2106" spans="1:8" ht="29.25" x14ac:dyDescent="0.25">
      <c r="A2106" s="2" t="str">
        <f>"00055680"</f>
        <v>00055680</v>
      </c>
      <c r="B2106" s="2" t="str">
        <f t="shared" si="100"/>
        <v>SG</v>
      </c>
      <c r="C2106" s="4" t="s">
        <v>1409</v>
      </c>
      <c r="D2106" s="4" t="s">
        <v>0</v>
      </c>
      <c r="E2106" s="4" t="s">
        <v>12</v>
      </c>
      <c r="F2106" s="2" t="s">
        <v>0</v>
      </c>
      <c r="G2106" s="2" t="str">
        <f>"02"</f>
        <v>02</v>
      </c>
      <c r="H2106" s="3">
        <v>552</v>
      </c>
    </row>
    <row r="2107" spans="1:8" x14ac:dyDescent="0.25">
      <c r="A2107" s="2" t="str">
        <f>"00055700"</f>
        <v>00055700</v>
      </c>
      <c r="B2107" s="2" t="str">
        <f t="shared" si="100"/>
        <v>SG</v>
      </c>
      <c r="C2107" s="4" t="s">
        <v>1410</v>
      </c>
      <c r="D2107" s="4" t="s">
        <v>0</v>
      </c>
      <c r="E2107" s="4" t="s">
        <v>12</v>
      </c>
      <c r="F2107" s="2" t="s">
        <v>0</v>
      </c>
      <c r="G2107" s="2" t="str">
        <f>"02"</f>
        <v>02</v>
      </c>
      <c r="H2107" s="3">
        <v>552</v>
      </c>
    </row>
    <row r="2108" spans="1:8" x14ac:dyDescent="0.25">
      <c r="A2108" s="2" t="str">
        <f>"00055705"</f>
        <v>00055705</v>
      </c>
      <c r="B2108" s="2" t="str">
        <f t="shared" si="100"/>
        <v>SG</v>
      </c>
      <c r="C2108" s="4" t="s">
        <v>1410</v>
      </c>
      <c r="D2108" s="4" t="s">
        <v>0</v>
      </c>
      <c r="E2108" s="4" t="s">
        <v>12</v>
      </c>
      <c r="F2108" s="2" t="s">
        <v>0</v>
      </c>
      <c r="G2108" s="2" t="str">
        <f>"02"</f>
        <v>02</v>
      </c>
      <c r="H2108" s="3">
        <v>552</v>
      </c>
    </row>
    <row r="2109" spans="1:8" ht="29.25" x14ac:dyDescent="0.25">
      <c r="A2109" s="2" t="str">
        <f>"00055706"</f>
        <v>00055706</v>
      </c>
      <c r="B2109" s="2" t="str">
        <f t="shared" si="100"/>
        <v>SG</v>
      </c>
      <c r="C2109" s="4" t="s">
        <v>1411</v>
      </c>
      <c r="D2109" s="4" t="s">
        <v>0</v>
      </c>
      <c r="E2109" s="4" t="s">
        <v>12</v>
      </c>
      <c r="F2109" s="2" t="s">
        <v>0</v>
      </c>
      <c r="G2109" s="2" t="str">
        <f>"01"</f>
        <v>01</v>
      </c>
      <c r="H2109" s="3">
        <v>413</v>
      </c>
    </row>
    <row r="2110" spans="1:8" ht="29.25" x14ac:dyDescent="0.25">
      <c r="A2110" s="2" t="str">
        <f>"00055720"</f>
        <v>00055720</v>
      </c>
      <c r="B2110" s="2" t="str">
        <f t="shared" si="100"/>
        <v>SG</v>
      </c>
      <c r="C2110" s="4" t="s">
        <v>1316</v>
      </c>
      <c r="D2110" s="4" t="s">
        <v>0</v>
      </c>
      <c r="E2110" s="4" t="s">
        <v>12</v>
      </c>
      <c r="F2110" s="2" t="s">
        <v>0</v>
      </c>
      <c r="G2110" s="2" t="str">
        <f>"03"</f>
        <v>03</v>
      </c>
      <c r="H2110" s="3">
        <v>637</v>
      </c>
    </row>
    <row r="2111" spans="1:8" ht="29.25" x14ac:dyDescent="0.25">
      <c r="A2111" s="2" t="str">
        <f>"00055725"</f>
        <v>00055725</v>
      </c>
      <c r="B2111" s="2" t="str">
        <f t="shared" si="100"/>
        <v>SG</v>
      </c>
      <c r="C2111" s="4" t="s">
        <v>1316</v>
      </c>
      <c r="D2111" s="4" t="s">
        <v>0</v>
      </c>
      <c r="E2111" s="4" t="s">
        <v>12</v>
      </c>
      <c r="F2111" s="2" t="s">
        <v>0</v>
      </c>
      <c r="G2111" s="2" t="str">
        <f>"03"</f>
        <v>03</v>
      </c>
      <c r="H2111" s="3">
        <v>637</v>
      </c>
    </row>
    <row r="2112" spans="1:8" x14ac:dyDescent="0.25">
      <c r="A2112" s="2" t="str">
        <f>"00055873"</f>
        <v>00055873</v>
      </c>
      <c r="B2112" s="2" t="str">
        <f t="shared" si="100"/>
        <v>SG</v>
      </c>
      <c r="C2112" s="4" t="s">
        <v>1412</v>
      </c>
      <c r="D2112" s="4" t="s">
        <v>0</v>
      </c>
      <c r="E2112" s="4" t="s">
        <v>12</v>
      </c>
      <c r="F2112" s="2" t="s">
        <v>0</v>
      </c>
      <c r="G2112" s="2" t="str">
        <f>"09"</f>
        <v>09</v>
      </c>
      <c r="H2112" s="3">
        <v>1662</v>
      </c>
    </row>
    <row r="2113" spans="1:8" ht="100.5" x14ac:dyDescent="0.25">
      <c r="A2113" s="2" t="str">
        <f>"00055874"</f>
        <v>00055874</v>
      </c>
      <c r="B2113" s="2" t="str">
        <f t="shared" si="100"/>
        <v>SG</v>
      </c>
      <c r="C2113" s="4" t="s">
        <v>1413</v>
      </c>
      <c r="D2113" s="4" t="s">
        <v>0</v>
      </c>
      <c r="E2113" s="4" t="s">
        <v>12</v>
      </c>
      <c r="F2113" s="2" t="s">
        <v>0</v>
      </c>
      <c r="G2113" s="2" t="str">
        <f>"09"</f>
        <v>09</v>
      </c>
      <c r="H2113" s="3">
        <v>1662</v>
      </c>
    </row>
    <row r="2114" spans="1:8" ht="29.25" x14ac:dyDescent="0.25">
      <c r="A2114" s="2" t="str">
        <f>"00055875"</f>
        <v>00055875</v>
      </c>
      <c r="B2114" s="2" t="str">
        <f t="shared" si="100"/>
        <v>SG</v>
      </c>
      <c r="C2114" s="4" t="s">
        <v>1414</v>
      </c>
      <c r="D2114" s="4" t="s">
        <v>0</v>
      </c>
      <c r="E2114" s="4" t="s">
        <v>12</v>
      </c>
      <c r="F2114" s="2" t="s">
        <v>0</v>
      </c>
      <c r="G2114" s="2" t="str">
        <f>"03"</f>
        <v>03</v>
      </c>
      <c r="H2114" s="3">
        <v>637</v>
      </c>
    </row>
    <row r="2115" spans="1:8" ht="29.25" x14ac:dyDescent="0.25">
      <c r="A2115" s="2" t="str">
        <f>"00056440"</f>
        <v>00056440</v>
      </c>
      <c r="B2115" s="2" t="str">
        <f t="shared" si="100"/>
        <v>SG</v>
      </c>
      <c r="C2115" s="4" t="s">
        <v>1415</v>
      </c>
      <c r="D2115" s="4" t="s">
        <v>0</v>
      </c>
      <c r="E2115" s="4" t="s">
        <v>12</v>
      </c>
      <c r="F2115" s="2" t="s">
        <v>0</v>
      </c>
      <c r="G2115" s="2" t="str">
        <f>"02"</f>
        <v>02</v>
      </c>
      <c r="H2115" s="3">
        <v>552</v>
      </c>
    </row>
    <row r="2116" spans="1:8" x14ac:dyDescent="0.25">
      <c r="A2116" s="2" t="str">
        <f>"00056441"</f>
        <v>00056441</v>
      </c>
      <c r="B2116" s="2" t="str">
        <f t="shared" si="100"/>
        <v>SG</v>
      </c>
      <c r="C2116" s="4" t="s">
        <v>1416</v>
      </c>
      <c r="D2116" s="4" t="s">
        <v>0</v>
      </c>
      <c r="E2116" s="4" t="s">
        <v>12</v>
      </c>
      <c r="F2116" s="2" t="s">
        <v>0</v>
      </c>
      <c r="G2116" s="2" t="str">
        <f>"02"</f>
        <v>02</v>
      </c>
      <c r="H2116" s="3">
        <v>552</v>
      </c>
    </row>
    <row r="2117" spans="1:8" x14ac:dyDescent="0.25">
      <c r="A2117" s="2" t="str">
        <f>"00056442"</f>
        <v>00056442</v>
      </c>
      <c r="B2117" s="2" t="str">
        <f t="shared" si="100"/>
        <v>SG</v>
      </c>
      <c r="C2117" s="4" t="s">
        <v>1417</v>
      </c>
      <c r="D2117" s="4" t="s">
        <v>0</v>
      </c>
      <c r="E2117" s="4" t="s">
        <v>12</v>
      </c>
      <c r="F2117" s="2" t="s">
        <v>0</v>
      </c>
      <c r="G2117" s="2" t="str">
        <f>"02"</f>
        <v>02</v>
      </c>
      <c r="H2117" s="3">
        <v>552</v>
      </c>
    </row>
    <row r="2118" spans="1:8" ht="29.25" x14ac:dyDescent="0.25">
      <c r="A2118" s="2" t="str">
        <f>"00056515"</f>
        <v>00056515</v>
      </c>
      <c r="B2118" s="2" t="str">
        <f t="shared" si="100"/>
        <v>SG</v>
      </c>
      <c r="C2118" s="4" t="s">
        <v>1418</v>
      </c>
      <c r="D2118" s="4" t="s">
        <v>0</v>
      </c>
      <c r="E2118" s="4" t="s">
        <v>12</v>
      </c>
      <c r="F2118" s="2" t="s">
        <v>0</v>
      </c>
      <c r="G2118" s="2" t="str">
        <f>"01"</f>
        <v>01</v>
      </c>
      <c r="H2118" s="3">
        <v>413</v>
      </c>
    </row>
    <row r="2119" spans="1:8" ht="29.25" x14ac:dyDescent="0.25">
      <c r="A2119" s="2" t="str">
        <f>"00056620"</f>
        <v>00056620</v>
      </c>
      <c r="B2119" s="2" t="str">
        <f t="shared" si="100"/>
        <v>SG</v>
      </c>
      <c r="C2119" s="4" t="s">
        <v>1419</v>
      </c>
      <c r="D2119" s="4" t="s">
        <v>0</v>
      </c>
      <c r="E2119" s="4" t="s">
        <v>12</v>
      </c>
      <c r="F2119" s="2" t="s">
        <v>0</v>
      </c>
      <c r="G2119" s="2" t="str">
        <f t="shared" ref="G2119:G2133" si="102">"02"</f>
        <v>02</v>
      </c>
      <c r="H2119" s="3">
        <v>552</v>
      </c>
    </row>
    <row r="2120" spans="1:8" ht="29.25" x14ac:dyDescent="0.25">
      <c r="A2120" s="2" t="str">
        <f>"00056625"</f>
        <v>00056625</v>
      </c>
      <c r="B2120" s="2" t="str">
        <f t="shared" si="100"/>
        <v>SG</v>
      </c>
      <c r="C2120" s="4" t="s">
        <v>1420</v>
      </c>
      <c r="D2120" s="4" t="s">
        <v>0</v>
      </c>
      <c r="E2120" s="4" t="s">
        <v>12</v>
      </c>
      <c r="F2120" s="2" t="s">
        <v>0</v>
      </c>
      <c r="G2120" s="2" t="str">
        <f t="shared" si="102"/>
        <v>02</v>
      </c>
      <c r="H2120" s="3">
        <v>552</v>
      </c>
    </row>
    <row r="2121" spans="1:8" ht="29.25" x14ac:dyDescent="0.25">
      <c r="A2121" s="2" t="str">
        <f>"00056700"</f>
        <v>00056700</v>
      </c>
      <c r="B2121" s="2" t="str">
        <f t="shared" si="100"/>
        <v>SG</v>
      </c>
      <c r="C2121" s="4" t="s">
        <v>1421</v>
      </c>
      <c r="D2121" s="4" t="s">
        <v>0</v>
      </c>
      <c r="E2121" s="4" t="s">
        <v>12</v>
      </c>
      <c r="F2121" s="2" t="s">
        <v>0</v>
      </c>
      <c r="G2121" s="2" t="str">
        <f t="shared" si="102"/>
        <v>02</v>
      </c>
      <c r="H2121" s="3">
        <v>552</v>
      </c>
    </row>
    <row r="2122" spans="1:8" ht="29.25" x14ac:dyDescent="0.25">
      <c r="A2122" s="2" t="str">
        <f>"00056740"</f>
        <v>00056740</v>
      </c>
      <c r="B2122" s="2" t="str">
        <f t="shared" si="100"/>
        <v>SG</v>
      </c>
      <c r="C2122" s="4" t="s">
        <v>1422</v>
      </c>
      <c r="D2122" s="4" t="s">
        <v>0</v>
      </c>
      <c r="E2122" s="4" t="s">
        <v>12</v>
      </c>
      <c r="F2122" s="2" t="s">
        <v>0</v>
      </c>
      <c r="G2122" s="2" t="str">
        <f t="shared" si="102"/>
        <v>02</v>
      </c>
      <c r="H2122" s="3">
        <v>552</v>
      </c>
    </row>
    <row r="2123" spans="1:8" x14ac:dyDescent="0.25">
      <c r="A2123" s="2" t="str">
        <f>"00056800"</f>
        <v>00056800</v>
      </c>
      <c r="B2123" s="2" t="str">
        <f t="shared" si="100"/>
        <v>SG</v>
      </c>
      <c r="C2123" s="4" t="s">
        <v>1423</v>
      </c>
      <c r="D2123" s="4" t="s">
        <v>0</v>
      </c>
      <c r="E2123" s="4" t="s">
        <v>12</v>
      </c>
      <c r="F2123" s="2" t="s">
        <v>0</v>
      </c>
      <c r="G2123" s="2" t="str">
        <f t="shared" si="102"/>
        <v>02</v>
      </c>
      <c r="H2123" s="3">
        <v>552</v>
      </c>
    </row>
    <row r="2124" spans="1:8" x14ac:dyDescent="0.25">
      <c r="A2124" s="2" t="str">
        <f>"00056810"</f>
        <v>00056810</v>
      </c>
      <c r="B2124" s="2" t="str">
        <f t="shared" si="100"/>
        <v>SG</v>
      </c>
      <c r="C2124" s="4" t="s">
        <v>1424</v>
      </c>
      <c r="D2124" s="4" t="s">
        <v>0</v>
      </c>
      <c r="E2124" s="4" t="s">
        <v>12</v>
      </c>
      <c r="F2124" s="2" t="s">
        <v>0</v>
      </c>
      <c r="G2124" s="2" t="str">
        <f t="shared" si="102"/>
        <v>02</v>
      </c>
      <c r="H2124" s="3">
        <v>552</v>
      </c>
    </row>
    <row r="2125" spans="1:8" x14ac:dyDescent="0.25">
      <c r="A2125" s="2" t="str">
        <f>"00057000"</f>
        <v>00057000</v>
      </c>
      <c r="B2125" s="2" t="str">
        <f t="shared" ref="B2125:B2188" si="103">"SG"</f>
        <v>SG</v>
      </c>
      <c r="C2125" s="4" t="s">
        <v>1425</v>
      </c>
      <c r="D2125" s="4" t="s">
        <v>0</v>
      </c>
      <c r="E2125" s="4" t="s">
        <v>12</v>
      </c>
      <c r="F2125" s="2" t="s">
        <v>0</v>
      </c>
      <c r="G2125" s="2" t="str">
        <f t="shared" si="102"/>
        <v>02</v>
      </c>
      <c r="H2125" s="3">
        <v>552</v>
      </c>
    </row>
    <row r="2126" spans="1:8" ht="29.25" x14ac:dyDescent="0.25">
      <c r="A2126" s="2" t="str">
        <f>"00057010"</f>
        <v>00057010</v>
      </c>
      <c r="B2126" s="2" t="str">
        <f t="shared" si="103"/>
        <v>SG</v>
      </c>
      <c r="C2126" s="4" t="s">
        <v>1090</v>
      </c>
      <c r="D2126" s="4" t="s">
        <v>0</v>
      </c>
      <c r="E2126" s="4" t="s">
        <v>12</v>
      </c>
      <c r="F2126" s="2" t="s">
        <v>0</v>
      </c>
      <c r="G2126" s="2" t="str">
        <f t="shared" si="102"/>
        <v>02</v>
      </c>
      <c r="H2126" s="3">
        <v>552</v>
      </c>
    </row>
    <row r="2127" spans="1:8" x14ac:dyDescent="0.25">
      <c r="A2127" s="2" t="str">
        <f>"00057020"</f>
        <v>00057020</v>
      </c>
      <c r="B2127" s="2" t="str">
        <f t="shared" si="103"/>
        <v>SG</v>
      </c>
      <c r="C2127" s="4" t="s">
        <v>1426</v>
      </c>
      <c r="D2127" s="4" t="s">
        <v>0</v>
      </c>
      <c r="E2127" s="4" t="s">
        <v>12</v>
      </c>
      <c r="F2127" s="2" t="s">
        <v>0</v>
      </c>
      <c r="G2127" s="2" t="str">
        <f t="shared" si="102"/>
        <v>02</v>
      </c>
      <c r="H2127" s="3">
        <v>552</v>
      </c>
    </row>
    <row r="2128" spans="1:8" ht="29.25" x14ac:dyDescent="0.25">
      <c r="A2128" s="2" t="str">
        <f>"00057023"</f>
        <v>00057023</v>
      </c>
      <c r="B2128" s="2" t="str">
        <f t="shared" si="103"/>
        <v>SG</v>
      </c>
      <c r="C2128" s="4" t="s">
        <v>1427</v>
      </c>
      <c r="D2128" s="4" t="s">
        <v>0</v>
      </c>
      <c r="E2128" s="4" t="s">
        <v>12</v>
      </c>
      <c r="F2128" s="2" t="s">
        <v>0</v>
      </c>
      <c r="G2128" s="2" t="str">
        <f t="shared" si="102"/>
        <v>02</v>
      </c>
      <c r="H2128" s="3">
        <v>552</v>
      </c>
    </row>
    <row r="2129" spans="1:8" ht="29.25" x14ac:dyDescent="0.25">
      <c r="A2129" s="2" t="str">
        <f>"00057065"</f>
        <v>00057065</v>
      </c>
      <c r="B2129" s="2" t="str">
        <f t="shared" si="103"/>
        <v>SG</v>
      </c>
      <c r="C2129" s="4" t="s">
        <v>1428</v>
      </c>
      <c r="D2129" s="4" t="s">
        <v>0</v>
      </c>
      <c r="E2129" s="4" t="s">
        <v>12</v>
      </c>
      <c r="F2129" s="2" t="s">
        <v>0</v>
      </c>
      <c r="G2129" s="2" t="str">
        <f t="shared" si="102"/>
        <v>02</v>
      </c>
      <c r="H2129" s="3">
        <v>552</v>
      </c>
    </row>
    <row r="2130" spans="1:8" x14ac:dyDescent="0.25">
      <c r="A2130" s="2" t="str">
        <f>"00057105"</f>
        <v>00057105</v>
      </c>
      <c r="B2130" s="2" t="str">
        <f t="shared" si="103"/>
        <v>SG</v>
      </c>
      <c r="C2130" s="4" t="s">
        <v>1429</v>
      </c>
      <c r="D2130" s="4" t="s">
        <v>0</v>
      </c>
      <c r="E2130" s="4" t="s">
        <v>12</v>
      </c>
      <c r="F2130" s="2" t="s">
        <v>0</v>
      </c>
      <c r="G2130" s="2" t="str">
        <f t="shared" si="102"/>
        <v>02</v>
      </c>
      <c r="H2130" s="3">
        <v>552</v>
      </c>
    </row>
    <row r="2131" spans="1:8" x14ac:dyDescent="0.25">
      <c r="A2131" s="2" t="str">
        <f>"00057130"</f>
        <v>00057130</v>
      </c>
      <c r="B2131" s="2" t="str">
        <f t="shared" si="103"/>
        <v>SG</v>
      </c>
      <c r="C2131" s="4" t="s">
        <v>1430</v>
      </c>
      <c r="D2131" s="4" t="s">
        <v>0</v>
      </c>
      <c r="E2131" s="4" t="s">
        <v>12</v>
      </c>
      <c r="F2131" s="2" t="s">
        <v>0</v>
      </c>
      <c r="G2131" s="2" t="str">
        <f t="shared" si="102"/>
        <v>02</v>
      </c>
      <c r="H2131" s="3">
        <v>552</v>
      </c>
    </row>
    <row r="2132" spans="1:8" x14ac:dyDescent="0.25">
      <c r="A2132" s="2" t="str">
        <f>"00057135"</f>
        <v>00057135</v>
      </c>
      <c r="B2132" s="2" t="str">
        <f t="shared" si="103"/>
        <v>SG</v>
      </c>
      <c r="C2132" s="4" t="s">
        <v>1430</v>
      </c>
      <c r="D2132" s="4" t="s">
        <v>0</v>
      </c>
      <c r="E2132" s="4" t="s">
        <v>12</v>
      </c>
      <c r="F2132" s="2" t="s">
        <v>0</v>
      </c>
      <c r="G2132" s="2" t="str">
        <f t="shared" si="102"/>
        <v>02</v>
      </c>
      <c r="H2132" s="3">
        <v>552</v>
      </c>
    </row>
    <row r="2133" spans="1:8" ht="29.25" x14ac:dyDescent="0.25">
      <c r="A2133" s="2" t="str">
        <f>"00057155"</f>
        <v>00057155</v>
      </c>
      <c r="B2133" s="2" t="str">
        <f t="shared" si="103"/>
        <v>SG</v>
      </c>
      <c r="C2133" s="4" t="s">
        <v>1431</v>
      </c>
      <c r="D2133" s="4" t="s">
        <v>0</v>
      </c>
      <c r="E2133" s="4" t="s">
        <v>12</v>
      </c>
      <c r="F2133" s="2" t="s">
        <v>0</v>
      </c>
      <c r="G2133" s="2" t="str">
        <f t="shared" si="102"/>
        <v>02</v>
      </c>
      <c r="H2133" s="3">
        <v>552</v>
      </c>
    </row>
    <row r="2134" spans="1:8" x14ac:dyDescent="0.25">
      <c r="A2134" s="2" t="str">
        <f>"00057180"</f>
        <v>00057180</v>
      </c>
      <c r="B2134" s="2" t="str">
        <f t="shared" si="103"/>
        <v>SG</v>
      </c>
      <c r="C2134" s="4" t="s">
        <v>1432</v>
      </c>
      <c r="D2134" s="4" t="s">
        <v>0</v>
      </c>
      <c r="E2134" s="4" t="s">
        <v>12</v>
      </c>
      <c r="F2134" s="2" t="s">
        <v>0</v>
      </c>
      <c r="G2134" s="2" t="str">
        <f>"01"</f>
        <v>01</v>
      </c>
      <c r="H2134" s="3">
        <v>413</v>
      </c>
    </row>
    <row r="2135" spans="1:8" x14ac:dyDescent="0.25">
      <c r="A2135" s="2" t="str">
        <f>"00057200"</f>
        <v>00057200</v>
      </c>
      <c r="B2135" s="2" t="str">
        <f t="shared" si="103"/>
        <v>SG</v>
      </c>
      <c r="C2135" s="4" t="s">
        <v>1423</v>
      </c>
      <c r="D2135" s="4" t="s">
        <v>0</v>
      </c>
      <c r="E2135" s="4" t="s">
        <v>12</v>
      </c>
      <c r="F2135" s="2" t="s">
        <v>0</v>
      </c>
      <c r="G2135" s="2" t="str">
        <f>"02"</f>
        <v>02</v>
      </c>
      <c r="H2135" s="3">
        <v>552</v>
      </c>
    </row>
    <row r="2136" spans="1:8" x14ac:dyDescent="0.25">
      <c r="A2136" s="2" t="str">
        <f>"00057210"</f>
        <v>00057210</v>
      </c>
      <c r="B2136" s="2" t="str">
        <f t="shared" si="103"/>
        <v>SG</v>
      </c>
      <c r="C2136" s="4" t="s">
        <v>1433</v>
      </c>
      <c r="D2136" s="4" t="s">
        <v>0</v>
      </c>
      <c r="E2136" s="4" t="s">
        <v>12</v>
      </c>
      <c r="F2136" s="2" t="s">
        <v>0</v>
      </c>
      <c r="G2136" s="2" t="str">
        <f>"02"</f>
        <v>02</v>
      </c>
      <c r="H2136" s="3">
        <v>552</v>
      </c>
    </row>
    <row r="2137" spans="1:8" x14ac:dyDescent="0.25">
      <c r="A2137" s="2" t="str">
        <f>"00057220"</f>
        <v>00057220</v>
      </c>
      <c r="B2137" s="2" t="str">
        <f t="shared" si="103"/>
        <v>SG</v>
      </c>
      <c r="C2137" s="4" t="s">
        <v>1340</v>
      </c>
      <c r="D2137" s="4" t="s">
        <v>0</v>
      </c>
      <c r="E2137" s="4" t="s">
        <v>12</v>
      </c>
      <c r="F2137" s="2" t="s">
        <v>0</v>
      </c>
      <c r="G2137" s="2" t="str">
        <f>"06"</f>
        <v>06</v>
      </c>
      <c r="H2137" s="3">
        <v>1000</v>
      </c>
    </row>
    <row r="2138" spans="1:8" ht="29.25" x14ac:dyDescent="0.25">
      <c r="A2138" s="2" t="str">
        <f>"00057230"</f>
        <v>00057230</v>
      </c>
      <c r="B2138" s="2" t="str">
        <f t="shared" si="103"/>
        <v>SG</v>
      </c>
      <c r="C2138" s="4" t="s">
        <v>1434</v>
      </c>
      <c r="D2138" s="4" t="s">
        <v>0</v>
      </c>
      <c r="E2138" s="4" t="s">
        <v>12</v>
      </c>
      <c r="F2138" s="2" t="s">
        <v>0</v>
      </c>
      <c r="G2138" s="2" t="str">
        <f>"03"</f>
        <v>03</v>
      </c>
      <c r="H2138" s="3">
        <v>637</v>
      </c>
    </row>
    <row r="2139" spans="1:8" x14ac:dyDescent="0.25">
      <c r="A2139" s="2" t="str">
        <f>"00057240"</f>
        <v>00057240</v>
      </c>
      <c r="B2139" s="2" t="str">
        <f t="shared" si="103"/>
        <v>SG</v>
      </c>
      <c r="C2139" s="4" t="s">
        <v>1435</v>
      </c>
      <c r="D2139" s="4" t="s">
        <v>0</v>
      </c>
      <c r="E2139" s="4" t="s">
        <v>12</v>
      </c>
      <c r="F2139" s="2" t="s">
        <v>0</v>
      </c>
      <c r="G2139" s="2" t="str">
        <f>"06"</f>
        <v>06</v>
      </c>
      <c r="H2139" s="3">
        <v>1000</v>
      </c>
    </row>
    <row r="2140" spans="1:8" x14ac:dyDescent="0.25">
      <c r="A2140" s="2" t="str">
        <f>"00057250"</f>
        <v>00057250</v>
      </c>
      <c r="B2140" s="2" t="str">
        <f t="shared" si="103"/>
        <v>SG</v>
      </c>
      <c r="C2140" s="4" t="s">
        <v>1436</v>
      </c>
      <c r="D2140" s="4" t="s">
        <v>0</v>
      </c>
      <c r="E2140" s="4" t="s">
        <v>12</v>
      </c>
      <c r="F2140" s="2" t="s">
        <v>0</v>
      </c>
      <c r="G2140" s="2" t="str">
        <f>"06"</f>
        <v>06</v>
      </c>
      <c r="H2140" s="3">
        <v>1000</v>
      </c>
    </row>
    <row r="2141" spans="1:8" x14ac:dyDescent="0.25">
      <c r="A2141" s="2" t="str">
        <f>"00057260"</f>
        <v>00057260</v>
      </c>
      <c r="B2141" s="2" t="str">
        <f t="shared" si="103"/>
        <v>SG</v>
      </c>
      <c r="C2141" s="4" t="s">
        <v>1423</v>
      </c>
      <c r="D2141" s="4" t="s">
        <v>0</v>
      </c>
      <c r="E2141" s="4" t="s">
        <v>12</v>
      </c>
      <c r="F2141" s="2" t="s">
        <v>0</v>
      </c>
      <c r="G2141" s="2" t="str">
        <f>"06"</f>
        <v>06</v>
      </c>
      <c r="H2141" s="3">
        <v>1000</v>
      </c>
    </row>
    <row r="2142" spans="1:8" ht="29.25" x14ac:dyDescent="0.25">
      <c r="A2142" s="2" t="str">
        <f>"00057265"</f>
        <v>00057265</v>
      </c>
      <c r="B2142" s="2" t="str">
        <f t="shared" si="103"/>
        <v>SG</v>
      </c>
      <c r="C2142" s="4" t="s">
        <v>1437</v>
      </c>
      <c r="D2142" s="4" t="s">
        <v>0</v>
      </c>
      <c r="E2142" s="4" t="s">
        <v>12</v>
      </c>
      <c r="F2142" s="2" t="s">
        <v>0</v>
      </c>
      <c r="G2142" s="2" t="str">
        <f>"06"</f>
        <v>06</v>
      </c>
      <c r="H2142" s="3">
        <v>1000</v>
      </c>
    </row>
    <row r="2143" spans="1:8" ht="29.25" x14ac:dyDescent="0.25">
      <c r="A2143" s="2" t="str">
        <f>"00057267"</f>
        <v>00057267</v>
      </c>
      <c r="B2143" s="2" t="str">
        <f t="shared" si="103"/>
        <v>SG</v>
      </c>
      <c r="C2143" s="4" t="s">
        <v>1438</v>
      </c>
      <c r="D2143" s="4" t="s">
        <v>0</v>
      </c>
      <c r="E2143" s="4" t="s">
        <v>12</v>
      </c>
      <c r="F2143" s="2" t="s">
        <v>0</v>
      </c>
      <c r="G2143" s="2" t="str">
        <f>"07"</f>
        <v>07</v>
      </c>
      <c r="H2143" s="3">
        <v>1233</v>
      </c>
    </row>
    <row r="2144" spans="1:8" x14ac:dyDescent="0.25">
      <c r="A2144" s="2" t="str">
        <f>"00057268"</f>
        <v>00057268</v>
      </c>
      <c r="B2144" s="2" t="str">
        <f t="shared" si="103"/>
        <v>SG</v>
      </c>
      <c r="C2144" s="4" t="s">
        <v>1439</v>
      </c>
      <c r="D2144" s="4" t="s">
        <v>0</v>
      </c>
      <c r="E2144" s="4" t="s">
        <v>12</v>
      </c>
      <c r="F2144" s="2" t="s">
        <v>0</v>
      </c>
      <c r="G2144" s="2" t="str">
        <f>"03"</f>
        <v>03</v>
      </c>
      <c r="H2144" s="3">
        <v>637</v>
      </c>
    </row>
    <row r="2145" spans="1:8" x14ac:dyDescent="0.25">
      <c r="A2145" s="2" t="str">
        <f>"00057288"</f>
        <v>00057288</v>
      </c>
      <c r="B2145" s="2" t="str">
        <f t="shared" si="103"/>
        <v>SG</v>
      </c>
      <c r="C2145" s="4" t="s">
        <v>1440</v>
      </c>
      <c r="D2145" s="4" t="s">
        <v>0</v>
      </c>
      <c r="E2145" s="4" t="s">
        <v>12</v>
      </c>
      <c r="F2145" s="2" t="s">
        <v>0</v>
      </c>
      <c r="G2145" s="2" t="str">
        <f>"06"</f>
        <v>06</v>
      </c>
      <c r="H2145" s="3">
        <v>1000</v>
      </c>
    </row>
    <row r="2146" spans="1:8" x14ac:dyDescent="0.25">
      <c r="A2146" s="2" t="str">
        <f>"00057289"</f>
        <v>00057289</v>
      </c>
      <c r="B2146" s="2" t="str">
        <f t="shared" si="103"/>
        <v>SG</v>
      </c>
      <c r="C2146" s="4" t="s">
        <v>1435</v>
      </c>
      <c r="D2146" s="4" t="s">
        <v>0</v>
      </c>
      <c r="E2146" s="4" t="s">
        <v>12</v>
      </c>
      <c r="F2146" s="2" t="s">
        <v>0</v>
      </c>
      <c r="G2146" s="2" t="str">
        <f>"06"</f>
        <v>06</v>
      </c>
      <c r="H2146" s="3">
        <v>1000</v>
      </c>
    </row>
    <row r="2147" spans="1:8" x14ac:dyDescent="0.25">
      <c r="A2147" s="2" t="str">
        <f>"00057291"</f>
        <v>00057291</v>
      </c>
      <c r="B2147" s="2" t="str">
        <f t="shared" si="103"/>
        <v>SG</v>
      </c>
      <c r="C2147" s="4" t="s">
        <v>1441</v>
      </c>
      <c r="D2147" s="4" t="s">
        <v>0</v>
      </c>
      <c r="E2147" s="4" t="s">
        <v>12</v>
      </c>
      <c r="F2147" s="2" t="s">
        <v>0</v>
      </c>
      <c r="G2147" s="2" t="str">
        <f>"03"</f>
        <v>03</v>
      </c>
      <c r="H2147" s="3">
        <v>637</v>
      </c>
    </row>
    <row r="2148" spans="1:8" ht="29.25" x14ac:dyDescent="0.25">
      <c r="A2148" s="2" t="str">
        <f>"00057300"</f>
        <v>00057300</v>
      </c>
      <c r="B2148" s="2" t="str">
        <f t="shared" si="103"/>
        <v>SG</v>
      </c>
      <c r="C2148" s="4" t="s">
        <v>1442</v>
      </c>
      <c r="D2148" s="4" t="s">
        <v>0</v>
      </c>
      <c r="E2148" s="4" t="s">
        <v>12</v>
      </c>
      <c r="F2148" s="2" t="s">
        <v>0</v>
      </c>
      <c r="G2148" s="2" t="str">
        <f>"03"</f>
        <v>03</v>
      </c>
      <c r="H2148" s="3">
        <v>637</v>
      </c>
    </row>
    <row r="2149" spans="1:8" x14ac:dyDescent="0.25">
      <c r="A2149" s="2" t="str">
        <f>"00057400"</f>
        <v>00057400</v>
      </c>
      <c r="B2149" s="2" t="str">
        <f t="shared" si="103"/>
        <v>SG</v>
      </c>
      <c r="C2149" s="4" t="s">
        <v>1443</v>
      </c>
      <c r="D2149" s="4" t="s">
        <v>0</v>
      </c>
      <c r="E2149" s="4" t="s">
        <v>12</v>
      </c>
      <c r="F2149" s="2" t="s">
        <v>0</v>
      </c>
      <c r="G2149" s="2" t="str">
        <f>"03"</f>
        <v>03</v>
      </c>
      <c r="H2149" s="3">
        <v>637</v>
      </c>
    </row>
    <row r="2150" spans="1:8" x14ac:dyDescent="0.25">
      <c r="A2150" s="2" t="str">
        <f>"00057410"</f>
        <v>00057410</v>
      </c>
      <c r="B2150" s="2" t="str">
        <f t="shared" si="103"/>
        <v>SG</v>
      </c>
      <c r="C2150" s="4" t="s">
        <v>1444</v>
      </c>
      <c r="D2150" s="4" t="s">
        <v>0</v>
      </c>
      <c r="E2150" s="4" t="s">
        <v>12</v>
      </c>
      <c r="F2150" s="2" t="s">
        <v>0</v>
      </c>
      <c r="G2150" s="2" t="str">
        <f>"03"</f>
        <v>03</v>
      </c>
      <c r="H2150" s="3">
        <v>637</v>
      </c>
    </row>
    <row r="2151" spans="1:8" ht="29.25" x14ac:dyDescent="0.25">
      <c r="A2151" s="2" t="str">
        <f>"00057415"</f>
        <v>00057415</v>
      </c>
      <c r="B2151" s="2" t="str">
        <f t="shared" si="103"/>
        <v>SG</v>
      </c>
      <c r="C2151" s="4" t="s">
        <v>1445</v>
      </c>
      <c r="D2151" s="4" t="s">
        <v>0</v>
      </c>
      <c r="E2151" s="4" t="s">
        <v>12</v>
      </c>
      <c r="F2151" s="2" t="s">
        <v>0</v>
      </c>
      <c r="G2151" s="2" t="str">
        <f>"03"</f>
        <v>03</v>
      </c>
      <c r="H2151" s="3">
        <v>637</v>
      </c>
    </row>
    <row r="2152" spans="1:8" ht="29.25" x14ac:dyDescent="0.25">
      <c r="A2152" s="2" t="str">
        <f>"00057426"</f>
        <v>00057426</v>
      </c>
      <c r="B2152" s="2" t="str">
        <f t="shared" si="103"/>
        <v>SG</v>
      </c>
      <c r="C2152" s="4" t="s">
        <v>1446</v>
      </c>
      <c r="D2152" s="4" t="s">
        <v>0</v>
      </c>
      <c r="E2152" s="4" t="s">
        <v>12</v>
      </c>
      <c r="F2152" s="2" t="s">
        <v>0</v>
      </c>
      <c r="G2152" s="2" t="str">
        <f>"06"</f>
        <v>06</v>
      </c>
      <c r="H2152" s="3">
        <v>1000</v>
      </c>
    </row>
    <row r="2153" spans="1:8" ht="29.25" x14ac:dyDescent="0.25">
      <c r="A2153" s="2" t="str">
        <f>"00057513"</f>
        <v>00057513</v>
      </c>
      <c r="B2153" s="2" t="str">
        <f t="shared" si="103"/>
        <v>SG</v>
      </c>
      <c r="C2153" s="4" t="s">
        <v>1447</v>
      </c>
      <c r="D2153" s="4" t="s">
        <v>0</v>
      </c>
      <c r="E2153" s="4" t="s">
        <v>12</v>
      </c>
      <c r="F2153" s="2" t="s">
        <v>0</v>
      </c>
      <c r="G2153" s="2" t="str">
        <f>"03"</f>
        <v>03</v>
      </c>
      <c r="H2153" s="3">
        <v>637</v>
      </c>
    </row>
    <row r="2154" spans="1:8" x14ac:dyDescent="0.25">
      <c r="A2154" s="2" t="str">
        <f>"00057520"</f>
        <v>00057520</v>
      </c>
      <c r="B2154" s="2" t="str">
        <f t="shared" si="103"/>
        <v>SG</v>
      </c>
      <c r="C2154" s="4" t="s">
        <v>1448</v>
      </c>
      <c r="D2154" s="4" t="s">
        <v>0</v>
      </c>
      <c r="E2154" s="4" t="s">
        <v>12</v>
      </c>
      <c r="F2154" s="2" t="s">
        <v>0</v>
      </c>
      <c r="G2154" s="2" t="str">
        <f>"03"</f>
        <v>03</v>
      </c>
      <c r="H2154" s="3">
        <v>637</v>
      </c>
    </row>
    <row r="2155" spans="1:8" x14ac:dyDescent="0.25">
      <c r="A2155" s="2" t="str">
        <f>"00057522"</f>
        <v>00057522</v>
      </c>
      <c r="B2155" s="2" t="str">
        <f t="shared" si="103"/>
        <v>SG</v>
      </c>
      <c r="C2155" s="4" t="s">
        <v>1448</v>
      </c>
      <c r="D2155" s="4" t="s">
        <v>0</v>
      </c>
      <c r="E2155" s="4" t="s">
        <v>12</v>
      </c>
      <c r="F2155" s="2" t="s">
        <v>0</v>
      </c>
      <c r="G2155" s="2" t="str">
        <f>"03"</f>
        <v>03</v>
      </c>
      <c r="H2155" s="3">
        <v>637</v>
      </c>
    </row>
    <row r="2156" spans="1:8" x14ac:dyDescent="0.25">
      <c r="A2156" s="2" t="str">
        <f>"00057530"</f>
        <v>00057530</v>
      </c>
      <c r="B2156" s="2" t="str">
        <f t="shared" si="103"/>
        <v>SG</v>
      </c>
      <c r="C2156" s="4" t="s">
        <v>1449</v>
      </c>
      <c r="D2156" s="4" t="s">
        <v>0</v>
      </c>
      <c r="E2156" s="4" t="s">
        <v>12</v>
      </c>
      <c r="F2156" s="2" t="s">
        <v>0</v>
      </c>
      <c r="G2156" s="2" t="str">
        <f>"03"</f>
        <v>03</v>
      </c>
      <c r="H2156" s="3">
        <v>637</v>
      </c>
    </row>
    <row r="2157" spans="1:8" ht="29.25" x14ac:dyDescent="0.25">
      <c r="A2157" s="2" t="str">
        <f>"00057550"</f>
        <v>00057550</v>
      </c>
      <c r="B2157" s="2" t="str">
        <f t="shared" si="103"/>
        <v>SG</v>
      </c>
      <c r="C2157" s="4" t="s">
        <v>1450</v>
      </c>
      <c r="D2157" s="4" t="s">
        <v>0</v>
      </c>
      <c r="E2157" s="4" t="s">
        <v>12</v>
      </c>
      <c r="F2157" s="2" t="s">
        <v>0</v>
      </c>
      <c r="G2157" s="2" t="str">
        <f>"03"</f>
        <v>03</v>
      </c>
      <c r="H2157" s="3">
        <v>637</v>
      </c>
    </row>
    <row r="2158" spans="1:8" ht="29.25" x14ac:dyDescent="0.25">
      <c r="A2158" s="2" t="str">
        <f>"00057556"</f>
        <v>00057556</v>
      </c>
      <c r="B2158" s="2" t="str">
        <f t="shared" si="103"/>
        <v>SG</v>
      </c>
      <c r="C2158" s="4" t="s">
        <v>1451</v>
      </c>
      <c r="D2158" s="4" t="s">
        <v>0</v>
      </c>
      <c r="E2158" s="4" t="s">
        <v>12</v>
      </c>
      <c r="F2158" s="2" t="s">
        <v>0</v>
      </c>
      <c r="G2158" s="2" t="str">
        <f>"06"</f>
        <v>06</v>
      </c>
      <c r="H2158" s="3">
        <v>1000</v>
      </c>
    </row>
    <row r="2159" spans="1:8" x14ac:dyDescent="0.25">
      <c r="A2159" s="2" t="str">
        <f>"00057558"</f>
        <v>00057558</v>
      </c>
      <c r="B2159" s="2" t="str">
        <f t="shared" si="103"/>
        <v>SG</v>
      </c>
      <c r="C2159" s="4" t="s">
        <v>1452</v>
      </c>
      <c r="D2159" s="4" t="s">
        <v>0</v>
      </c>
      <c r="E2159" s="4" t="s">
        <v>12</v>
      </c>
      <c r="F2159" s="2" t="s">
        <v>0</v>
      </c>
      <c r="G2159" s="2" t="str">
        <f t="shared" ref="G2159:G2164" si="104">"03"</f>
        <v>03</v>
      </c>
      <c r="H2159" s="3">
        <v>637</v>
      </c>
    </row>
    <row r="2160" spans="1:8" x14ac:dyDescent="0.25">
      <c r="A2160" s="2" t="str">
        <f>"00057700"</f>
        <v>00057700</v>
      </c>
      <c r="B2160" s="2" t="str">
        <f t="shared" si="103"/>
        <v>SG</v>
      </c>
      <c r="C2160" s="4" t="s">
        <v>1453</v>
      </c>
      <c r="D2160" s="4" t="s">
        <v>0</v>
      </c>
      <c r="E2160" s="4" t="s">
        <v>12</v>
      </c>
      <c r="F2160" s="2" t="s">
        <v>0</v>
      </c>
      <c r="G2160" s="2" t="str">
        <f t="shared" si="104"/>
        <v>03</v>
      </c>
      <c r="H2160" s="3">
        <v>637</v>
      </c>
    </row>
    <row r="2161" spans="1:8" x14ac:dyDescent="0.25">
      <c r="A2161" s="2" t="str">
        <f>"00057720"</f>
        <v>00057720</v>
      </c>
      <c r="B2161" s="2" t="str">
        <f t="shared" si="103"/>
        <v>SG</v>
      </c>
      <c r="C2161" s="4" t="s">
        <v>1453</v>
      </c>
      <c r="D2161" s="4" t="s">
        <v>0</v>
      </c>
      <c r="E2161" s="4" t="s">
        <v>12</v>
      </c>
      <c r="F2161" s="2" t="s">
        <v>0</v>
      </c>
      <c r="G2161" s="2" t="str">
        <f t="shared" si="104"/>
        <v>03</v>
      </c>
      <c r="H2161" s="3">
        <v>637</v>
      </c>
    </row>
    <row r="2162" spans="1:8" x14ac:dyDescent="0.25">
      <c r="A2162" s="2" t="str">
        <f>"00058120"</f>
        <v>00058120</v>
      </c>
      <c r="B2162" s="2" t="str">
        <f t="shared" si="103"/>
        <v>SG</v>
      </c>
      <c r="C2162" s="4" t="s">
        <v>1454</v>
      </c>
      <c r="D2162" s="4" t="s">
        <v>0</v>
      </c>
      <c r="E2162" s="4" t="s">
        <v>12</v>
      </c>
      <c r="F2162" s="2" t="s">
        <v>0</v>
      </c>
      <c r="G2162" s="2" t="str">
        <f t="shared" si="104"/>
        <v>03</v>
      </c>
      <c r="H2162" s="3">
        <v>637</v>
      </c>
    </row>
    <row r="2163" spans="1:8" ht="29.25" x14ac:dyDescent="0.25">
      <c r="A2163" s="2" t="str">
        <f>"00058145"</f>
        <v>00058145</v>
      </c>
      <c r="B2163" s="2" t="str">
        <f t="shared" si="103"/>
        <v>SG</v>
      </c>
      <c r="C2163" s="4" t="s">
        <v>1455</v>
      </c>
      <c r="D2163" s="4" t="s">
        <v>0</v>
      </c>
      <c r="E2163" s="4" t="s">
        <v>12</v>
      </c>
      <c r="F2163" s="2" t="s">
        <v>0</v>
      </c>
      <c r="G2163" s="2" t="str">
        <f t="shared" si="104"/>
        <v>03</v>
      </c>
      <c r="H2163" s="3">
        <v>637</v>
      </c>
    </row>
    <row r="2164" spans="1:8" ht="29.25" x14ac:dyDescent="0.25">
      <c r="A2164" s="2" t="str">
        <f>"00058346"</f>
        <v>00058346</v>
      </c>
      <c r="B2164" s="2" t="str">
        <f t="shared" si="103"/>
        <v>SG</v>
      </c>
      <c r="C2164" s="4" t="s">
        <v>1456</v>
      </c>
      <c r="D2164" s="4" t="s">
        <v>0</v>
      </c>
      <c r="E2164" s="4" t="s">
        <v>12</v>
      </c>
      <c r="F2164" s="2" t="s">
        <v>0</v>
      </c>
      <c r="G2164" s="2" t="str">
        <f t="shared" si="104"/>
        <v>03</v>
      </c>
      <c r="H2164" s="3">
        <v>637</v>
      </c>
    </row>
    <row r="2165" spans="1:8" x14ac:dyDescent="0.25">
      <c r="A2165" s="2" t="str">
        <f>"00058350"</f>
        <v>00058350</v>
      </c>
      <c r="B2165" s="2" t="str">
        <f t="shared" si="103"/>
        <v>SG</v>
      </c>
      <c r="C2165" s="4" t="s">
        <v>1457</v>
      </c>
      <c r="D2165" s="4" t="s">
        <v>0</v>
      </c>
      <c r="E2165" s="4" t="s">
        <v>12</v>
      </c>
      <c r="F2165" s="2" t="s">
        <v>0</v>
      </c>
      <c r="G2165" s="2" t="str">
        <f>"06"</f>
        <v>06</v>
      </c>
      <c r="H2165" s="3">
        <v>1000</v>
      </c>
    </row>
    <row r="2166" spans="1:8" ht="29.25" x14ac:dyDescent="0.25">
      <c r="A2166" s="2" t="str">
        <f>"00058353"</f>
        <v>00058353</v>
      </c>
      <c r="B2166" s="2" t="str">
        <f t="shared" si="103"/>
        <v>SG</v>
      </c>
      <c r="C2166" s="4" t="s">
        <v>1458</v>
      </c>
      <c r="D2166" s="4" t="s">
        <v>0</v>
      </c>
      <c r="E2166" s="4" t="s">
        <v>12</v>
      </c>
      <c r="F2166" s="2" t="s">
        <v>0</v>
      </c>
      <c r="G2166" s="2" t="str">
        <f>"06"</f>
        <v>06</v>
      </c>
      <c r="H2166" s="3">
        <v>1000</v>
      </c>
    </row>
    <row r="2167" spans="1:8" ht="29.25" x14ac:dyDescent="0.25">
      <c r="A2167" s="2" t="str">
        <f>"00058545"</f>
        <v>00058545</v>
      </c>
      <c r="B2167" s="2" t="str">
        <f t="shared" si="103"/>
        <v>SG</v>
      </c>
      <c r="C2167" s="4" t="s">
        <v>1459</v>
      </c>
      <c r="D2167" s="4" t="s">
        <v>0</v>
      </c>
      <c r="E2167" s="4" t="s">
        <v>12</v>
      </c>
      <c r="F2167" s="2" t="s">
        <v>0</v>
      </c>
      <c r="G2167" s="2" t="str">
        <f>"06"</f>
        <v>06</v>
      </c>
      <c r="H2167" s="3">
        <v>1000</v>
      </c>
    </row>
    <row r="2168" spans="1:8" ht="29.25" x14ac:dyDescent="0.25">
      <c r="A2168" s="2" t="str">
        <f>"00058546"</f>
        <v>00058546</v>
      </c>
      <c r="B2168" s="2" t="str">
        <f t="shared" si="103"/>
        <v>SG</v>
      </c>
      <c r="C2168" s="4" t="s">
        <v>1460</v>
      </c>
      <c r="D2168" s="4" t="s">
        <v>0</v>
      </c>
      <c r="E2168" s="4" t="s">
        <v>12</v>
      </c>
      <c r="F2168" s="2" t="s">
        <v>0</v>
      </c>
      <c r="G2168" s="2" t="str">
        <f>"09"</f>
        <v>09</v>
      </c>
      <c r="H2168" s="3">
        <v>1662</v>
      </c>
    </row>
    <row r="2169" spans="1:8" ht="29.25" x14ac:dyDescent="0.25">
      <c r="A2169" s="2" t="str">
        <f>"00058550"</f>
        <v>00058550</v>
      </c>
      <c r="B2169" s="2" t="str">
        <f t="shared" si="103"/>
        <v>SG</v>
      </c>
      <c r="C2169" s="4" t="s">
        <v>1461</v>
      </c>
      <c r="D2169" s="4" t="s">
        <v>0</v>
      </c>
      <c r="E2169" s="4" t="s">
        <v>12</v>
      </c>
      <c r="F2169" s="2" t="s">
        <v>0</v>
      </c>
      <c r="G2169" s="2" t="str">
        <f>"09"</f>
        <v>09</v>
      </c>
      <c r="H2169" s="3">
        <v>1662</v>
      </c>
    </row>
    <row r="2170" spans="1:8" ht="72" x14ac:dyDescent="0.25">
      <c r="A2170" s="2" t="str">
        <f>"00058552"</f>
        <v>00058552</v>
      </c>
      <c r="B2170" s="2" t="str">
        <f t="shared" si="103"/>
        <v>SG</v>
      </c>
      <c r="C2170" s="4" t="s">
        <v>1462</v>
      </c>
      <c r="D2170" s="4" t="s">
        <v>0</v>
      </c>
      <c r="E2170" s="4" t="s">
        <v>12</v>
      </c>
      <c r="F2170" s="2" t="s">
        <v>0</v>
      </c>
      <c r="G2170" s="2" t="str">
        <f>"09"</f>
        <v>09</v>
      </c>
      <c r="H2170" s="3">
        <v>1662</v>
      </c>
    </row>
    <row r="2171" spans="1:8" ht="29.25" x14ac:dyDescent="0.25">
      <c r="A2171" s="2" t="str">
        <f>"00058555"</f>
        <v>00058555</v>
      </c>
      <c r="B2171" s="2" t="str">
        <f t="shared" si="103"/>
        <v>SG</v>
      </c>
      <c r="C2171" s="4" t="s">
        <v>1463</v>
      </c>
      <c r="D2171" s="4" t="s">
        <v>0</v>
      </c>
      <c r="E2171" s="4" t="s">
        <v>12</v>
      </c>
      <c r="F2171" s="2" t="s">
        <v>0</v>
      </c>
      <c r="G2171" s="2" t="str">
        <f>"02"</f>
        <v>02</v>
      </c>
      <c r="H2171" s="3">
        <v>552</v>
      </c>
    </row>
    <row r="2172" spans="1:8" x14ac:dyDescent="0.25">
      <c r="A2172" s="2" t="str">
        <f>"00058558"</f>
        <v>00058558</v>
      </c>
      <c r="B2172" s="2" t="str">
        <f t="shared" si="103"/>
        <v>SG</v>
      </c>
      <c r="C2172" s="4" t="s">
        <v>1464</v>
      </c>
      <c r="D2172" s="4" t="s">
        <v>0</v>
      </c>
      <c r="E2172" s="4" t="s">
        <v>12</v>
      </c>
      <c r="F2172" s="2" t="s">
        <v>0</v>
      </c>
      <c r="G2172" s="2" t="str">
        <f>"02"</f>
        <v>02</v>
      </c>
      <c r="H2172" s="3">
        <v>552</v>
      </c>
    </row>
    <row r="2173" spans="1:8" x14ac:dyDescent="0.25">
      <c r="A2173" s="2" t="str">
        <f>"00058559"</f>
        <v>00058559</v>
      </c>
      <c r="B2173" s="2" t="str">
        <f t="shared" si="103"/>
        <v>SG</v>
      </c>
      <c r="C2173" s="4" t="s">
        <v>1465</v>
      </c>
      <c r="D2173" s="4" t="s">
        <v>0</v>
      </c>
      <c r="E2173" s="4" t="s">
        <v>12</v>
      </c>
      <c r="F2173" s="2" t="s">
        <v>0</v>
      </c>
      <c r="G2173" s="2" t="str">
        <f>"06"</f>
        <v>06</v>
      </c>
      <c r="H2173" s="3">
        <v>1000</v>
      </c>
    </row>
    <row r="2174" spans="1:8" ht="29.25" x14ac:dyDescent="0.25">
      <c r="A2174" s="2" t="str">
        <f>"00058560"</f>
        <v>00058560</v>
      </c>
      <c r="B2174" s="2" t="str">
        <f t="shared" si="103"/>
        <v>SG</v>
      </c>
      <c r="C2174" s="4" t="s">
        <v>1466</v>
      </c>
      <c r="D2174" s="4" t="s">
        <v>0</v>
      </c>
      <c r="E2174" s="4" t="s">
        <v>12</v>
      </c>
      <c r="F2174" s="2" t="s">
        <v>0</v>
      </c>
      <c r="G2174" s="2" t="str">
        <f>"06"</f>
        <v>06</v>
      </c>
      <c r="H2174" s="3">
        <v>1000</v>
      </c>
    </row>
    <row r="2175" spans="1:8" ht="29.25" x14ac:dyDescent="0.25">
      <c r="A2175" s="2" t="str">
        <f>"00058561"</f>
        <v>00058561</v>
      </c>
      <c r="B2175" s="2" t="str">
        <f t="shared" si="103"/>
        <v>SG</v>
      </c>
      <c r="C2175" s="4" t="s">
        <v>1467</v>
      </c>
      <c r="D2175" s="4" t="s">
        <v>0</v>
      </c>
      <c r="E2175" s="4" t="s">
        <v>12</v>
      </c>
      <c r="F2175" s="2" t="s">
        <v>0</v>
      </c>
      <c r="G2175" s="2" t="str">
        <f>"06"</f>
        <v>06</v>
      </c>
      <c r="H2175" s="3">
        <v>1000</v>
      </c>
    </row>
    <row r="2176" spans="1:8" ht="29.25" x14ac:dyDescent="0.25">
      <c r="A2176" s="2" t="str">
        <f>"00058562"</f>
        <v>00058562</v>
      </c>
      <c r="B2176" s="2" t="str">
        <f t="shared" si="103"/>
        <v>SG</v>
      </c>
      <c r="C2176" s="4" t="s">
        <v>1468</v>
      </c>
      <c r="D2176" s="4" t="s">
        <v>0</v>
      </c>
      <c r="E2176" s="4" t="s">
        <v>12</v>
      </c>
      <c r="F2176" s="2" t="s">
        <v>0</v>
      </c>
      <c r="G2176" s="2" t="str">
        <f>"02"</f>
        <v>02</v>
      </c>
      <c r="H2176" s="3">
        <v>552</v>
      </c>
    </row>
    <row r="2177" spans="1:8" x14ac:dyDescent="0.25">
      <c r="A2177" s="2" t="str">
        <f>"00058563"</f>
        <v>00058563</v>
      </c>
      <c r="B2177" s="2" t="str">
        <f t="shared" si="103"/>
        <v>SG</v>
      </c>
      <c r="C2177" s="4" t="s">
        <v>1469</v>
      </c>
      <c r="D2177" s="4" t="s">
        <v>0</v>
      </c>
      <c r="E2177" s="4" t="s">
        <v>12</v>
      </c>
      <c r="F2177" s="2" t="s">
        <v>0</v>
      </c>
      <c r="G2177" s="2" t="str">
        <f>"06"</f>
        <v>06</v>
      </c>
      <c r="H2177" s="3">
        <v>1000</v>
      </c>
    </row>
    <row r="2178" spans="1:8" ht="29.25" x14ac:dyDescent="0.25">
      <c r="A2178" s="2" t="str">
        <f>"00058565"</f>
        <v>00058565</v>
      </c>
      <c r="B2178" s="2" t="str">
        <f t="shared" si="103"/>
        <v>SG</v>
      </c>
      <c r="C2178" s="4" t="s">
        <v>1470</v>
      </c>
      <c r="D2178" s="4" t="s">
        <v>0</v>
      </c>
      <c r="E2178" s="4" t="s">
        <v>12</v>
      </c>
      <c r="F2178" s="2" t="s">
        <v>0</v>
      </c>
      <c r="G2178" s="2" t="str">
        <f>"06"</f>
        <v>06</v>
      </c>
      <c r="H2178" s="3">
        <v>1000</v>
      </c>
    </row>
    <row r="2179" spans="1:8" ht="72" x14ac:dyDescent="0.25">
      <c r="A2179" s="2" t="str">
        <f>"00058600"</f>
        <v>00058600</v>
      </c>
      <c r="B2179" s="2" t="str">
        <f t="shared" si="103"/>
        <v>SG</v>
      </c>
      <c r="C2179" s="4" t="s">
        <v>1471</v>
      </c>
      <c r="D2179" s="4" t="s">
        <v>0</v>
      </c>
      <c r="E2179" s="4" t="s">
        <v>12</v>
      </c>
      <c r="F2179" s="2" t="s">
        <v>0</v>
      </c>
      <c r="G2179" s="2" t="str">
        <f>"02"</f>
        <v>02</v>
      </c>
      <c r="H2179" s="3">
        <v>552</v>
      </c>
    </row>
    <row r="2180" spans="1:8" ht="86.25" x14ac:dyDescent="0.25">
      <c r="A2180" s="2" t="str">
        <f>"00058605"</f>
        <v>00058605</v>
      </c>
      <c r="B2180" s="2" t="str">
        <f t="shared" si="103"/>
        <v>SG</v>
      </c>
      <c r="C2180" s="4" t="s">
        <v>1472</v>
      </c>
      <c r="D2180" s="4" t="s">
        <v>0</v>
      </c>
      <c r="E2180" s="4" t="s">
        <v>12</v>
      </c>
      <c r="F2180" s="2" t="s">
        <v>0</v>
      </c>
      <c r="G2180" s="2" t="str">
        <f>"03"</f>
        <v>03</v>
      </c>
      <c r="H2180" s="3">
        <v>637</v>
      </c>
    </row>
    <row r="2181" spans="1:8" ht="57.75" x14ac:dyDescent="0.25">
      <c r="A2181" s="2" t="str">
        <f>"00058611"</f>
        <v>00058611</v>
      </c>
      <c r="B2181" s="2" t="str">
        <f t="shared" si="103"/>
        <v>SG</v>
      </c>
      <c r="C2181" s="4" t="s">
        <v>1473</v>
      </c>
      <c r="D2181" s="4" t="s">
        <v>0</v>
      </c>
      <c r="E2181" s="4" t="s">
        <v>12</v>
      </c>
      <c r="F2181" s="2" t="s">
        <v>0</v>
      </c>
      <c r="G2181" s="2" t="str">
        <f>"03"</f>
        <v>03</v>
      </c>
      <c r="H2181" s="3">
        <v>637</v>
      </c>
    </row>
    <row r="2182" spans="1:8" ht="57.75" x14ac:dyDescent="0.25">
      <c r="A2182" s="2" t="str">
        <f>"00058615"</f>
        <v>00058615</v>
      </c>
      <c r="B2182" s="2" t="str">
        <f t="shared" si="103"/>
        <v>SG</v>
      </c>
      <c r="C2182" s="4" t="s">
        <v>1474</v>
      </c>
      <c r="D2182" s="4" t="s">
        <v>0</v>
      </c>
      <c r="E2182" s="4" t="s">
        <v>12</v>
      </c>
      <c r="F2182" s="2" t="s">
        <v>0</v>
      </c>
      <c r="G2182" s="2" t="str">
        <f>"02"</f>
        <v>02</v>
      </c>
      <c r="H2182" s="3">
        <v>552</v>
      </c>
    </row>
    <row r="2183" spans="1:8" x14ac:dyDescent="0.25">
      <c r="A2183" s="2" t="str">
        <f>"00058660"</f>
        <v>00058660</v>
      </c>
      <c r="B2183" s="2" t="str">
        <f t="shared" si="103"/>
        <v>SG</v>
      </c>
      <c r="C2183" s="4" t="s">
        <v>1475</v>
      </c>
      <c r="D2183" s="4" t="s">
        <v>0</v>
      </c>
      <c r="E2183" s="4" t="s">
        <v>12</v>
      </c>
      <c r="F2183" s="2" t="s">
        <v>0</v>
      </c>
      <c r="G2183" s="2" t="str">
        <f t="shared" ref="G2183:G2189" si="105">"09"</f>
        <v>09</v>
      </c>
      <c r="H2183" s="3">
        <v>1662</v>
      </c>
    </row>
    <row r="2184" spans="1:8" ht="29.25" x14ac:dyDescent="0.25">
      <c r="A2184" s="2" t="str">
        <f>"00058661"</f>
        <v>00058661</v>
      </c>
      <c r="B2184" s="2" t="str">
        <f t="shared" si="103"/>
        <v>SG</v>
      </c>
      <c r="C2184" s="4" t="s">
        <v>1476</v>
      </c>
      <c r="D2184" s="4" t="s">
        <v>0</v>
      </c>
      <c r="E2184" s="4" t="s">
        <v>12</v>
      </c>
      <c r="F2184" s="2" t="s">
        <v>0</v>
      </c>
      <c r="G2184" s="2" t="str">
        <f t="shared" si="105"/>
        <v>09</v>
      </c>
      <c r="H2184" s="3">
        <v>1662</v>
      </c>
    </row>
    <row r="2185" spans="1:8" ht="29.25" x14ac:dyDescent="0.25">
      <c r="A2185" s="2" t="str">
        <f>"00058662"</f>
        <v>00058662</v>
      </c>
      <c r="B2185" s="2" t="str">
        <f t="shared" si="103"/>
        <v>SG</v>
      </c>
      <c r="C2185" s="4" t="s">
        <v>1477</v>
      </c>
      <c r="D2185" s="4" t="s">
        <v>0</v>
      </c>
      <c r="E2185" s="4" t="s">
        <v>12</v>
      </c>
      <c r="F2185" s="2" t="s">
        <v>0</v>
      </c>
      <c r="G2185" s="2" t="str">
        <f t="shared" si="105"/>
        <v>09</v>
      </c>
      <c r="H2185" s="3">
        <v>1662</v>
      </c>
    </row>
    <row r="2186" spans="1:8" ht="29.25" x14ac:dyDescent="0.25">
      <c r="A2186" s="2" t="str">
        <f>"00058670"</f>
        <v>00058670</v>
      </c>
      <c r="B2186" s="2" t="str">
        <f t="shared" si="103"/>
        <v>SG</v>
      </c>
      <c r="C2186" s="4" t="s">
        <v>1478</v>
      </c>
      <c r="D2186" s="4" t="s">
        <v>0</v>
      </c>
      <c r="E2186" s="4" t="s">
        <v>12</v>
      </c>
      <c r="F2186" s="2" t="s">
        <v>0</v>
      </c>
      <c r="G2186" s="2" t="str">
        <f t="shared" si="105"/>
        <v>09</v>
      </c>
      <c r="H2186" s="3">
        <v>1662</v>
      </c>
    </row>
    <row r="2187" spans="1:8" ht="29.25" x14ac:dyDescent="0.25">
      <c r="A2187" s="2" t="str">
        <f>"00058671"</f>
        <v>00058671</v>
      </c>
      <c r="B2187" s="2" t="str">
        <f t="shared" si="103"/>
        <v>SG</v>
      </c>
      <c r="C2187" s="4" t="s">
        <v>1479</v>
      </c>
      <c r="D2187" s="4" t="s">
        <v>0</v>
      </c>
      <c r="E2187" s="4" t="s">
        <v>12</v>
      </c>
      <c r="F2187" s="2" t="s">
        <v>0</v>
      </c>
      <c r="G2187" s="2" t="str">
        <f t="shared" si="105"/>
        <v>09</v>
      </c>
      <c r="H2187" s="3">
        <v>1662</v>
      </c>
    </row>
    <row r="2188" spans="1:8" ht="29.25" x14ac:dyDescent="0.25">
      <c r="A2188" s="2" t="str">
        <f>"00058672"</f>
        <v>00058672</v>
      </c>
      <c r="B2188" s="2" t="str">
        <f t="shared" si="103"/>
        <v>SG</v>
      </c>
      <c r="C2188" s="4" t="s">
        <v>1480</v>
      </c>
      <c r="D2188" s="4" t="s">
        <v>0</v>
      </c>
      <c r="E2188" s="4" t="s">
        <v>12</v>
      </c>
      <c r="F2188" s="2" t="s">
        <v>0</v>
      </c>
      <c r="G2188" s="2" t="str">
        <f t="shared" si="105"/>
        <v>09</v>
      </c>
      <c r="H2188" s="3">
        <v>1662</v>
      </c>
    </row>
    <row r="2189" spans="1:8" ht="29.25" x14ac:dyDescent="0.25">
      <c r="A2189" s="2" t="str">
        <f>"00058673"</f>
        <v>00058673</v>
      </c>
      <c r="B2189" s="2" t="str">
        <f t="shared" ref="B2189:B2252" si="106">"SG"</f>
        <v>SG</v>
      </c>
      <c r="C2189" s="4" t="s">
        <v>1481</v>
      </c>
      <c r="D2189" s="4" t="s">
        <v>0</v>
      </c>
      <c r="E2189" s="4" t="s">
        <v>12</v>
      </c>
      <c r="F2189" s="2" t="s">
        <v>0</v>
      </c>
      <c r="G2189" s="2" t="str">
        <f t="shared" si="105"/>
        <v>09</v>
      </c>
      <c r="H2189" s="3">
        <v>1662</v>
      </c>
    </row>
    <row r="2190" spans="1:8" ht="29.25" x14ac:dyDescent="0.25">
      <c r="A2190" s="2" t="str">
        <f>"00058800"</f>
        <v>00058800</v>
      </c>
      <c r="B2190" s="2" t="str">
        <f t="shared" si="106"/>
        <v>SG</v>
      </c>
      <c r="C2190" s="4" t="s">
        <v>1482</v>
      </c>
      <c r="D2190" s="4" t="s">
        <v>0</v>
      </c>
      <c r="E2190" s="4" t="s">
        <v>12</v>
      </c>
      <c r="F2190" s="2" t="s">
        <v>0</v>
      </c>
      <c r="G2190" s="2" t="str">
        <f>"02"</f>
        <v>02</v>
      </c>
      <c r="H2190" s="3">
        <v>552</v>
      </c>
    </row>
    <row r="2191" spans="1:8" ht="29.25" x14ac:dyDescent="0.25">
      <c r="A2191" s="2" t="str">
        <f>"00058820"</f>
        <v>00058820</v>
      </c>
      <c r="B2191" s="2" t="str">
        <f t="shared" si="106"/>
        <v>SG</v>
      </c>
      <c r="C2191" s="4" t="s">
        <v>1483</v>
      </c>
      <c r="D2191" s="4" t="s">
        <v>0</v>
      </c>
      <c r="E2191" s="4" t="s">
        <v>12</v>
      </c>
      <c r="F2191" s="2" t="s">
        <v>0</v>
      </c>
      <c r="G2191" s="2" t="str">
        <f>"02"</f>
        <v>02</v>
      </c>
      <c r="H2191" s="3">
        <v>552</v>
      </c>
    </row>
    <row r="2192" spans="1:8" x14ac:dyDescent="0.25">
      <c r="A2192" s="2" t="str">
        <f>"00058900"</f>
        <v>00058900</v>
      </c>
      <c r="B2192" s="2" t="str">
        <f t="shared" si="106"/>
        <v>SG</v>
      </c>
      <c r="C2192" s="4" t="s">
        <v>1484</v>
      </c>
      <c r="D2192" s="4" t="s">
        <v>0</v>
      </c>
      <c r="E2192" s="4" t="s">
        <v>12</v>
      </c>
      <c r="F2192" s="2" t="s">
        <v>0</v>
      </c>
      <c r="G2192" s="2" t="str">
        <f>"02"</f>
        <v>02</v>
      </c>
      <c r="H2192" s="3">
        <v>552</v>
      </c>
    </row>
    <row r="2193" spans="1:8" x14ac:dyDescent="0.25">
      <c r="A2193" s="2" t="str">
        <f>"00058970"</f>
        <v>00058970</v>
      </c>
      <c r="B2193" s="2" t="str">
        <f t="shared" si="106"/>
        <v>SG</v>
      </c>
      <c r="C2193" s="4" t="s">
        <v>1485</v>
      </c>
      <c r="D2193" s="4" t="s">
        <v>0</v>
      </c>
      <c r="E2193" s="4" t="s">
        <v>1367</v>
      </c>
      <c r="F2193" s="2" t="s">
        <v>0</v>
      </c>
      <c r="G2193" s="2" t="str">
        <f>"01"</f>
        <v>01</v>
      </c>
      <c r="H2193" s="2" t="s">
        <v>16</v>
      </c>
    </row>
    <row r="2194" spans="1:8" x14ac:dyDescent="0.25">
      <c r="A2194" s="2" t="str">
        <f>"00058974"</f>
        <v>00058974</v>
      </c>
      <c r="B2194" s="2" t="str">
        <f t="shared" si="106"/>
        <v>SG</v>
      </c>
      <c r="C2194" s="4" t="s">
        <v>1486</v>
      </c>
      <c r="D2194" s="4" t="s">
        <v>0</v>
      </c>
      <c r="E2194" s="4" t="s">
        <v>1367</v>
      </c>
      <c r="F2194" s="2" t="s">
        <v>0</v>
      </c>
      <c r="G2194" s="2" t="str">
        <f>"01"</f>
        <v>01</v>
      </c>
      <c r="H2194" s="2" t="s">
        <v>16</v>
      </c>
    </row>
    <row r="2195" spans="1:8" x14ac:dyDescent="0.25">
      <c r="A2195" s="2" t="str">
        <f>"00058976"</f>
        <v>00058976</v>
      </c>
      <c r="B2195" s="2" t="str">
        <f t="shared" si="106"/>
        <v>SG</v>
      </c>
      <c r="C2195" s="4" t="s">
        <v>1486</v>
      </c>
      <c r="D2195" s="4" t="s">
        <v>0</v>
      </c>
      <c r="E2195" s="4" t="s">
        <v>1367</v>
      </c>
      <c r="F2195" s="2" t="s">
        <v>0</v>
      </c>
      <c r="G2195" s="2" t="str">
        <f>"01"</f>
        <v>01</v>
      </c>
      <c r="H2195" s="2" t="s">
        <v>16</v>
      </c>
    </row>
    <row r="2196" spans="1:8" x14ac:dyDescent="0.25">
      <c r="A2196" s="2" t="str">
        <f>"00059160"</f>
        <v>00059160</v>
      </c>
      <c r="B2196" s="2" t="str">
        <f t="shared" si="106"/>
        <v>SG</v>
      </c>
      <c r="C2196" s="4" t="s">
        <v>1487</v>
      </c>
      <c r="D2196" s="4" t="s">
        <v>0</v>
      </c>
      <c r="E2196" s="4" t="s">
        <v>12</v>
      </c>
      <c r="F2196" s="2" t="s">
        <v>0</v>
      </c>
      <c r="G2196" s="2" t="str">
        <f t="shared" ref="G2196:G2204" si="107">"02"</f>
        <v>02</v>
      </c>
      <c r="H2196" s="3">
        <v>552</v>
      </c>
    </row>
    <row r="2197" spans="1:8" x14ac:dyDescent="0.25">
      <c r="A2197" s="2" t="str">
        <f>"00059320"</f>
        <v>00059320</v>
      </c>
      <c r="B2197" s="2" t="str">
        <f t="shared" si="106"/>
        <v>SG</v>
      </c>
      <c r="C2197" s="4" t="s">
        <v>1453</v>
      </c>
      <c r="D2197" s="4" t="s">
        <v>0</v>
      </c>
      <c r="E2197" s="4" t="s">
        <v>12</v>
      </c>
      <c r="F2197" s="2" t="s">
        <v>0</v>
      </c>
      <c r="G2197" s="2" t="str">
        <f t="shared" si="107"/>
        <v>02</v>
      </c>
      <c r="H2197" s="3">
        <v>552</v>
      </c>
    </row>
    <row r="2198" spans="1:8" ht="29.25" x14ac:dyDescent="0.25">
      <c r="A2198" s="2" t="str">
        <f>"00059812"</f>
        <v>00059812</v>
      </c>
      <c r="B2198" s="2" t="str">
        <f t="shared" si="106"/>
        <v>SG</v>
      </c>
      <c r="C2198" s="4" t="s">
        <v>1488</v>
      </c>
      <c r="D2198" s="4" t="s">
        <v>0</v>
      </c>
      <c r="E2198" s="4" t="s">
        <v>12</v>
      </c>
      <c r="F2198" s="2" t="s">
        <v>0</v>
      </c>
      <c r="G2198" s="2" t="str">
        <f t="shared" si="107"/>
        <v>02</v>
      </c>
      <c r="H2198" s="3">
        <v>552</v>
      </c>
    </row>
    <row r="2199" spans="1:8" x14ac:dyDescent="0.25">
      <c r="A2199" s="2" t="str">
        <f>"00059820"</f>
        <v>00059820</v>
      </c>
      <c r="B2199" s="2" t="str">
        <f t="shared" si="106"/>
        <v>SG</v>
      </c>
      <c r="C2199" s="4" t="s">
        <v>1489</v>
      </c>
      <c r="D2199" s="4" t="s">
        <v>0</v>
      </c>
      <c r="E2199" s="4" t="s">
        <v>12</v>
      </c>
      <c r="F2199" s="2" t="s">
        <v>0</v>
      </c>
      <c r="G2199" s="2" t="str">
        <f t="shared" si="107"/>
        <v>02</v>
      </c>
      <c r="H2199" s="3">
        <v>552</v>
      </c>
    </row>
    <row r="2200" spans="1:8" ht="29.25" x14ac:dyDescent="0.25">
      <c r="A2200" s="2" t="str">
        <f>"00059821"</f>
        <v>00059821</v>
      </c>
      <c r="B2200" s="2" t="str">
        <f t="shared" si="106"/>
        <v>SG</v>
      </c>
      <c r="C2200" s="4" t="s">
        <v>1488</v>
      </c>
      <c r="D2200" s="4" t="s">
        <v>0</v>
      </c>
      <c r="E2200" s="4" t="s">
        <v>12</v>
      </c>
      <c r="F2200" s="2" t="s">
        <v>0</v>
      </c>
      <c r="G2200" s="2" t="str">
        <f t="shared" si="107"/>
        <v>02</v>
      </c>
      <c r="H2200" s="3">
        <v>552</v>
      </c>
    </row>
    <row r="2201" spans="1:8" x14ac:dyDescent="0.25">
      <c r="A2201" s="2" t="str">
        <f>"00059840"</f>
        <v>00059840</v>
      </c>
      <c r="B2201" s="2" t="str">
        <f t="shared" si="106"/>
        <v>SG</v>
      </c>
      <c r="C2201" s="4" t="s">
        <v>1490</v>
      </c>
      <c r="D2201" s="4" t="s">
        <v>101</v>
      </c>
      <c r="E2201" s="4" t="s">
        <v>12</v>
      </c>
      <c r="F2201" s="2" t="s">
        <v>0</v>
      </c>
      <c r="G2201" s="2" t="str">
        <f t="shared" si="107"/>
        <v>02</v>
      </c>
      <c r="H2201" s="3">
        <v>552</v>
      </c>
    </row>
    <row r="2202" spans="1:8" x14ac:dyDescent="0.25">
      <c r="A2202" s="2" t="str">
        <f>"00059841"</f>
        <v>00059841</v>
      </c>
      <c r="B2202" s="2" t="str">
        <f t="shared" si="106"/>
        <v>SG</v>
      </c>
      <c r="C2202" s="4" t="s">
        <v>1490</v>
      </c>
      <c r="D2202" s="4" t="s">
        <v>101</v>
      </c>
      <c r="E2202" s="4" t="s">
        <v>12</v>
      </c>
      <c r="F2202" s="2" t="s">
        <v>0</v>
      </c>
      <c r="G2202" s="2" t="str">
        <f t="shared" si="107"/>
        <v>02</v>
      </c>
      <c r="H2202" s="3">
        <v>552</v>
      </c>
    </row>
    <row r="2203" spans="1:8" ht="29.25" x14ac:dyDescent="0.25">
      <c r="A2203" s="2" t="str">
        <f>"00059870"</f>
        <v>00059870</v>
      </c>
      <c r="B2203" s="2" t="str">
        <f t="shared" si="106"/>
        <v>SG</v>
      </c>
      <c r="C2203" s="4" t="s">
        <v>1491</v>
      </c>
      <c r="D2203" s="4" t="s">
        <v>0</v>
      </c>
      <c r="E2203" s="4" t="s">
        <v>12</v>
      </c>
      <c r="F2203" s="2" t="s">
        <v>0</v>
      </c>
      <c r="G2203" s="2" t="str">
        <f t="shared" si="107"/>
        <v>02</v>
      </c>
      <c r="H2203" s="3">
        <v>552</v>
      </c>
    </row>
    <row r="2204" spans="1:8" ht="29.25" x14ac:dyDescent="0.25">
      <c r="A2204" s="2" t="str">
        <f>"00059871"</f>
        <v>00059871</v>
      </c>
      <c r="B2204" s="2" t="str">
        <f t="shared" si="106"/>
        <v>SG</v>
      </c>
      <c r="C2204" s="4" t="s">
        <v>1492</v>
      </c>
      <c r="D2204" s="4" t="s">
        <v>0</v>
      </c>
      <c r="E2204" s="4" t="s">
        <v>12</v>
      </c>
      <c r="F2204" s="2" t="s">
        <v>0</v>
      </c>
      <c r="G2204" s="2" t="str">
        <f t="shared" si="107"/>
        <v>02</v>
      </c>
      <c r="H2204" s="3">
        <v>552</v>
      </c>
    </row>
    <row r="2205" spans="1:8" ht="29.25" x14ac:dyDescent="0.25">
      <c r="A2205" s="2" t="str">
        <f>"00060000"</f>
        <v>00060000</v>
      </c>
      <c r="B2205" s="2" t="str">
        <f t="shared" si="106"/>
        <v>SG</v>
      </c>
      <c r="C2205" s="4" t="s">
        <v>1493</v>
      </c>
      <c r="D2205" s="4" t="s">
        <v>0</v>
      </c>
      <c r="E2205" s="4" t="s">
        <v>12</v>
      </c>
      <c r="F2205" s="2" t="s">
        <v>0</v>
      </c>
      <c r="G2205" s="2" t="str">
        <f>"01"</f>
        <v>01</v>
      </c>
      <c r="H2205" s="3">
        <v>413</v>
      </c>
    </row>
    <row r="2206" spans="1:8" x14ac:dyDescent="0.25">
      <c r="A2206" s="2" t="str">
        <f>"00060200"</f>
        <v>00060200</v>
      </c>
      <c r="B2206" s="2" t="str">
        <f t="shared" si="106"/>
        <v>SG</v>
      </c>
      <c r="C2206" s="4" t="s">
        <v>1494</v>
      </c>
      <c r="D2206" s="4" t="s">
        <v>0</v>
      </c>
      <c r="E2206" s="4" t="s">
        <v>12</v>
      </c>
      <c r="F2206" s="2" t="s">
        <v>0</v>
      </c>
      <c r="G2206" s="2" t="str">
        <f>"07"</f>
        <v>07</v>
      </c>
      <c r="H2206" s="3">
        <v>1233</v>
      </c>
    </row>
    <row r="2207" spans="1:8" ht="29.25" x14ac:dyDescent="0.25">
      <c r="A2207" s="2" t="str">
        <f>"00060280"</f>
        <v>00060280</v>
      </c>
      <c r="B2207" s="2" t="str">
        <f t="shared" si="106"/>
        <v>SG</v>
      </c>
      <c r="C2207" s="4" t="s">
        <v>1495</v>
      </c>
      <c r="D2207" s="4" t="s">
        <v>0</v>
      </c>
      <c r="E2207" s="4" t="s">
        <v>12</v>
      </c>
      <c r="F2207" s="2" t="s">
        <v>0</v>
      </c>
      <c r="G2207" s="2" t="str">
        <f>"07"</f>
        <v>07</v>
      </c>
      <c r="H2207" s="3">
        <v>1233</v>
      </c>
    </row>
    <row r="2208" spans="1:8" ht="29.25" x14ac:dyDescent="0.25">
      <c r="A2208" s="2" t="str">
        <f>"00060281"</f>
        <v>00060281</v>
      </c>
      <c r="B2208" s="2" t="str">
        <f t="shared" si="106"/>
        <v>SG</v>
      </c>
      <c r="C2208" s="4" t="s">
        <v>1495</v>
      </c>
      <c r="D2208" s="4" t="s">
        <v>0</v>
      </c>
      <c r="E2208" s="4" t="s">
        <v>12</v>
      </c>
      <c r="F2208" s="2" t="s">
        <v>0</v>
      </c>
      <c r="G2208" s="2" t="str">
        <f>"07"</f>
        <v>07</v>
      </c>
      <c r="H2208" s="3">
        <v>1233</v>
      </c>
    </row>
    <row r="2209" spans="1:8" ht="29.25" x14ac:dyDescent="0.25">
      <c r="A2209" s="2" t="str">
        <f>"00061020"</f>
        <v>00061020</v>
      </c>
      <c r="B2209" s="2" t="str">
        <f t="shared" si="106"/>
        <v>SG</v>
      </c>
      <c r="C2209" s="4" t="s">
        <v>1496</v>
      </c>
      <c r="D2209" s="4" t="s">
        <v>0</v>
      </c>
      <c r="E2209" s="4" t="s">
        <v>12</v>
      </c>
      <c r="F2209" s="2" t="s">
        <v>0</v>
      </c>
      <c r="G2209" s="2" t="str">
        <f>"01"</f>
        <v>01</v>
      </c>
      <c r="H2209" s="3">
        <v>413</v>
      </c>
    </row>
    <row r="2210" spans="1:8" ht="29.25" x14ac:dyDescent="0.25">
      <c r="A2210" s="2" t="str">
        <f>"00061026"</f>
        <v>00061026</v>
      </c>
      <c r="B2210" s="2" t="str">
        <f t="shared" si="106"/>
        <v>SG</v>
      </c>
      <c r="C2210" s="4" t="s">
        <v>1497</v>
      </c>
      <c r="D2210" s="4" t="s">
        <v>0</v>
      </c>
      <c r="E2210" s="4" t="s">
        <v>12</v>
      </c>
      <c r="F2210" s="2" t="s">
        <v>0</v>
      </c>
      <c r="G2210" s="2" t="str">
        <f>"01"</f>
        <v>01</v>
      </c>
      <c r="H2210" s="3">
        <v>413</v>
      </c>
    </row>
    <row r="2211" spans="1:8" ht="29.25" x14ac:dyDescent="0.25">
      <c r="A2211" s="2" t="str">
        <f>"00061050"</f>
        <v>00061050</v>
      </c>
      <c r="B2211" s="2" t="str">
        <f t="shared" si="106"/>
        <v>SG</v>
      </c>
      <c r="C2211" s="4" t="s">
        <v>1498</v>
      </c>
      <c r="D2211" s="4" t="s">
        <v>0</v>
      </c>
      <c r="E2211" s="4" t="s">
        <v>12</v>
      </c>
      <c r="F2211" s="2" t="s">
        <v>0</v>
      </c>
      <c r="G2211" s="2" t="str">
        <f>"02"</f>
        <v>02</v>
      </c>
      <c r="H2211" s="3">
        <v>552</v>
      </c>
    </row>
    <row r="2212" spans="1:8" ht="29.25" x14ac:dyDescent="0.25">
      <c r="A2212" s="2" t="str">
        <f>"00061055"</f>
        <v>00061055</v>
      </c>
      <c r="B2212" s="2" t="str">
        <f t="shared" si="106"/>
        <v>SG</v>
      </c>
      <c r="C2212" s="4" t="s">
        <v>1497</v>
      </c>
      <c r="D2212" s="4" t="s">
        <v>0</v>
      </c>
      <c r="E2212" s="4" t="s">
        <v>12</v>
      </c>
      <c r="F2212" s="2" t="s">
        <v>0</v>
      </c>
      <c r="G2212" s="2" t="str">
        <f>"01"</f>
        <v>01</v>
      </c>
      <c r="H2212" s="3">
        <v>413</v>
      </c>
    </row>
    <row r="2213" spans="1:8" ht="29.25" x14ac:dyDescent="0.25">
      <c r="A2213" s="2" t="str">
        <f>"00061070"</f>
        <v>00061070</v>
      </c>
      <c r="B2213" s="2" t="str">
        <f t="shared" si="106"/>
        <v>SG</v>
      </c>
      <c r="C2213" s="4" t="s">
        <v>1499</v>
      </c>
      <c r="D2213" s="4" t="s">
        <v>0</v>
      </c>
      <c r="E2213" s="4" t="s">
        <v>12</v>
      </c>
      <c r="F2213" s="2" t="s">
        <v>0</v>
      </c>
      <c r="G2213" s="2" t="str">
        <f>"01"</f>
        <v>01</v>
      </c>
      <c r="H2213" s="3">
        <v>413</v>
      </c>
    </row>
    <row r="2214" spans="1:8" ht="29.25" x14ac:dyDescent="0.25">
      <c r="A2214" s="2" t="str">
        <f>"00061215"</f>
        <v>00061215</v>
      </c>
      <c r="B2214" s="2" t="str">
        <f t="shared" si="106"/>
        <v>SG</v>
      </c>
      <c r="C2214" s="4" t="s">
        <v>1500</v>
      </c>
      <c r="D2214" s="4" t="s">
        <v>0</v>
      </c>
      <c r="E2214" s="4" t="s">
        <v>12</v>
      </c>
      <c r="F2214" s="2" t="s">
        <v>0</v>
      </c>
      <c r="G2214" s="2" t="str">
        <f>"06"</f>
        <v>06</v>
      </c>
      <c r="H2214" s="3">
        <v>1000</v>
      </c>
    </row>
    <row r="2215" spans="1:8" x14ac:dyDescent="0.25">
      <c r="A2215" s="2" t="str">
        <f>"00061790"</f>
        <v>00061790</v>
      </c>
      <c r="B2215" s="2" t="str">
        <f t="shared" si="106"/>
        <v>SG</v>
      </c>
      <c r="C2215" s="4" t="s">
        <v>1501</v>
      </c>
      <c r="D2215" s="4" t="s">
        <v>0</v>
      </c>
      <c r="E2215" s="4" t="s">
        <v>12</v>
      </c>
      <c r="F2215" s="2" t="s">
        <v>0</v>
      </c>
      <c r="G2215" s="2" t="str">
        <f>"01"</f>
        <v>01</v>
      </c>
      <c r="H2215" s="3">
        <v>413</v>
      </c>
    </row>
    <row r="2216" spans="1:8" x14ac:dyDescent="0.25">
      <c r="A2216" s="2" t="str">
        <f>"00061791"</f>
        <v>00061791</v>
      </c>
      <c r="B2216" s="2" t="str">
        <f t="shared" si="106"/>
        <v>SG</v>
      </c>
      <c r="C2216" s="4" t="s">
        <v>1502</v>
      </c>
      <c r="D2216" s="4" t="s">
        <v>0</v>
      </c>
      <c r="E2216" s="4" t="s">
        <v>12</v>
      </c>
      <c r="F2216" s="2" t="s">
        <v>0</v>
      </c>
      <c r="G2216" s="2" t="str">
        <f>"02"</f>
        <v>02</v>
      </c>
      <c r="H2216" s="3">
        <v>552</v>
      </c>
    </row>
    <row r="2217" spans="1:8" ht="29.25" x14ac:dyDescent="0.25">
      <c r="A2217" s="2" t="str">
        <f>"00061885"</f>
        <v>00061885</v>
      </c>
      <c r="B2217" s="2" t="str">
        <f t="shared" si="106"/>
        <v>SG</v>
      </c>
      <c r="C2217" s="4" t="s">
        <v>1503</v>
      </c>
      <c r="D2217" s="4" t="s">
        <v>0</v>
      </c>
      <c r="E2217" s="4" t="s">
        <v>12</v>
      </c>
      <c r="F2217" s="2" t="s">
        <v>0</v>
      </c>
      <c r="G2217" s="2" t="str">
        <f>"09"</f>
        <v>09</v>
      </c>
      <c r="H2217" s="3">
        <v>1662</v>
      </c>
    </row>
    <row r="2218" spans="1:8" ht="29.25" x14ac:dyDescent="0.25">
      <c r="A2218" s="2" t="str">
        <f>"00061886"</f>
        <v>00061886</v>
      </c>
      <c r="B2218" s="2" t="str">
        <f t="shared" si="106"/>
        <v>SG</v>
      </c>
      <c r="C2218" s="4" t="s">
        <v>1504</v>
      </c>
      <c r="D2218" s="4" t="s">
        <v>0</v>
      </c>
      <c r="E2218" s="4" t="s">
        <v>12</v>
      </c>
      <c r="F2218" s="2" t="s">
        <v>0</v>
      </c>
      <c r="G2218" s="2" t="str">
        <f>"07"</f>
        <v>07</v>
      </c>
      <c r="H2218" s="3">
        <v>1233</v>
      </c>
    </row>
    <row r="2219" spans="1:8" ht="29.25" x14ac:dyDescent="0.25">
      <c r="A2219" s="2" t="str">
        <f>"00061888"</f>
        <v>00061888</v>
      </c>
      <c r="B2219" s="2" t="str">
        <f t="shared" si="106"/>
        <v>SG</v>
      </c>
      <c r="C2219" s="4" t="s">
        <v>1505</v>
      </c>
      <c r="D2219" s="4" t="s">
        <v>0</v>
      </c>
      <c r="E2219" s="4" t="s">
        <v>12</v>
      </c>
      <c r="F2219" s="2" t="s">
        <v>0</v>
      </c>
      <c r="G2219" s="2" t="str">
        <f>"09"</f>
        <v>09</v>
      </c>
      <c r="H2219" s="3">
        <v>1662</v>
      </c>
    </row>
    <row r="2220" spans="1:8" ht="29.25" x14ac:dyDescent="0.25">
      <c r="A2220" s="2" t="str">
        <f>"00062194"</f>
        <v>00062194</v>
      </c>
      <c r="B2220" s="2" t="str">
        <f t="shared" si="106"/>
        <v>SG</v>
      </c>
      <c r="C2220" s="4" t="s">
        <v>1506</v>
      </c>
      <c r="D2220" s="4" t="s">
        <v>0</v>
      </c>
      <c r="E2220" s="4" t="s">
        <v>12</v>
      </c>
      <c r="F2220" s="2" t="s">
        <v>0</v>
      </c>
      <c r="G2220" s="2" t="str">
        <f>"01"</f>
        <v>01</v>
      </c>
      <c r="H2220" s="3">
        <v>413</v>
      </c>
    </row>
    <row r="2221" spans="1:8" ht="29.25" x14ac:dyDescent="0.25">
      <c r="A2221" s="2" t="str">
        <f>"00062225"</f>
        <v>00062225</v>
      </c>
      <c r="B2221" s="2" t="str">
        <f t="shared" si="106"/>
        <v>SG</v>
      </c>
      <c r="C2221" s="4" t="s">
        <v>1506</v>
      </c>
      <c r="D2221" s="4" t="s">
        <v>0</v>
      </c>
      <c r="E2221" s="4" t="s">
        <v>12</v>
      </c>
      <c r="F2221" s="2" t="s">
        <v>0</v>
      </c>
      <c r="G2221" s="2" t="str">
        <f>"01"</f>
        <v>01</v>
      </c>
      <c r="H2221" s="3">
        <v>413</v>
      </c>
    </row>
    <row r="2222" spans="1:8" ht="29.25" x14ac:dyDescent="0.25">
      <c r="A2222" s="2" t="str">
        <f>"00062230"</f>
        <v>00062230</v>
      </c>
      <c r="B2222" s="2" t="str">
        <f t="shared" si="106"/>
        <v>SG</v>
      </c>
      <c r="C2222" s="4" t="s">
        <v>1507</v>
      </c>
      <c r="D2222" s="4" t="s">
        <v>0</v>
      </c>
      <c r="E2222" s="4" t="s">
        <v>12</v>
      </c>
      <c r="F2222" s="2" t="s">
        <v>0</v>
      </c>
      <c r="G2222" s="2" t="str">
        <f>"06"</f>
        <v>06</v>
      </c>
      <c r="H2222" s="3">
        <v>1000</v>
      </c>
    </row>
    <row r="2223" spans="1:8" ht="29.25" x14ac:dyDescent="0.25">
      <c r="A2223" s="2" t="str">
        <f>"00062263"</f>
        <v>00062263</v>
      </c>
      <c r="B2223" s="2" t="str">
        <f t="shared" si="106"/>
        <v>SG</v>
      </c>
      <c r="C2223" s="4" t="s">
        <v>1508</v>
      </c>
      <c r="D2223" s="4" t="s">
        <v>0</v>
      </c>
      <c r="E2223" s="4" t="s">
        <v>12</v>
      </c>
      <c r="F2223" s="2" t="s">
        <v>0</v>
      </c>
      <c r="G2223" s="2" t="str">
        <f t="shared" ref="G2223:G2232" si="108">"01"</f>
        <v>01</v>
      </c>
      <c r="H2223" s="3">
        <v>413</v>
      </c>
    </row>
    <row r="2224" spans="1:8" ht="29.25" x14ac:dyDescent="0.25">
      <c r="A2224" s="2" t="str">
        <f>"00062264"</f>
        <v>00062264</v>
      </c>
      <c r="B2224" s="2" t="str">
        <f t="shared" si="106"/>
        <v>SG</v>
      </c>
      <c r="C2224" s="4" t="s">
        <v>1509</v>
      </c>
      <c r="D2224" s="4" t="s">
        <v>0</v>
      </c>
      <c r="E2224" s="4" t="s">
        <v>12</v>
      </c>
      <c r="F2224" s="2" t="s">
        <v>0</v>
      </c>
      <c r="G2224" s="2" t="str">
        <f t="shared" si="108"/>
        <v>01</v>
      </c>
      <c r="H2224" s="3">
        <v>413</v>
      </c>
    </row>
    <row r="2225" spans="1:8" x14ac:dyDescent="0.25">
      <c r="A2225" s="2" t="str">
        <f>"00062268"</f>
        <v>00062268</v>
      </c>
      <c r="B2225" s="2" t="str">
        <f t="shared" si="106"/>
        <v>SG</v>
      </c>
      <c r="C2225" s="4" t="s">
        <v>1510</v>
      </c>
      <c r="D2225" s="4" t="s">
        <v>0</v>
      </c>
      <c r="E2225" s="4" t="s">
        <v>12</v>
      </c>
      <c r="F2225" s="2" t="s">
        <v>0</v>
      </c>
      <c r="G2225" s="2" t="str">
        <f t="shared" si="108"/>
        <v>01</v>
      </c>
      <c r="H2225" s="3">
        <v>413</v>
      </c>
    </row>
    <row r="2226" spans="1:8" ht="29.25" x14ac:dyDescent="0.25">
      <c r="A2226" s="2" t="str">
        <f>"00062269"</f>
        <v>00062269</v>
      </c>
      <c r="B2226" s="2" t="str">
        <f t="shared" si="106"/>
        <v>SG</v>
      </c>
      <c r="C2226" s="4" t="s">
        <v>1511</v>
      </c>
      <c r="D2226" s="4" t="s">
        <v>0</v>
      </c>
      <c r="E2226" s="4" t="s">
        <v>12</v>
      </c>
      <c r="F2226" s="2" t="s">
        <v>0</v>
      </c>
      <c r="G2226" s="2" t="str">
        <f t="shared" si="108"/>
        <v>01</v>
      </c>
      <c r="H2226" s="3">
        <v>413</v>
      </c>
    </row>
    <row r="2227" spans="1:8" ht="29.25" x14ac:dyDescent="0.25">
      <c r="A2227" s="2" t="str">
        <f>"00062270"</f>
        <v>00062270</v>
      </c>
      <c r="B2227" s="2" t="str">
        <f t="shared" si="106"/>
        <v>SG</v>
      </c>
      <c r="C2227" s="4" t="s">
        <v>1512</v>
      </c>
      <c r="D2227" s="4" t="s">
        <v>0</v>
      </c>
      <c r="E2227" s="4" t="s">
        <v>12</v>
      </c>
      <c r="F2227" s="2" t="s">
        <v>0</v>
      </c>
      <c r="G2227" s="2" t="str">
        <f t="shared" si="108"/>
        <v>01</v>
      </c>
      <c r="H2227" s="3">
        <v>413</v>
      </c>
    </row>
    <row r="2228" spans="1:8" ht="29.25" x14ac:dyDescent="0.25">
      <c r="A2228" s="2" t="str">
        <f>"00062272"</f>
        <v>00062272</v>
      </c>
      <c r="B2228" s="2" t="str">
        <f t="shared" si="106"/>
        <v>SG</v>
      </c>
      <c r="C2228" s="4" t="s">
        <v>1513</v>
      </c>
      <c r="D2228" s="4" t="s">
        <v>0</v>
      </c>
      <c r="E2228" s="4" t="s">
        <v>12</v>
      </c>
      <c r="F2228" s="2" t="s">
        <v>0</v>
      </c>
      <c r="G2228" s="2" t="str">
        <f t="shared" si="108"/>
        <v>01</v>
      </c>
      <c r="H2228" s="3">
        <v>413</v>
      </c>
    </row>
    <row r="2229" spans="1:8" x14ac:dyDescent="0.25">
      <c r="A2229" s="2" t="str">
        <f>"00062273"</f>
        <v>00062273</v>
      </c>
      <c r="B2229" s="2" t="str">
        <f t="shared" si="106"/>
        <v>SG</v>
      </c>
      <c r="C2229" s="4" t="s">
        <v>1514</v>
      </c>
      <c r="D2229" s="4" t="s">
        <v>0</v>
      </c>
      <c r="E2229" s="4" t="s">
        <v>12</v>
      </c>
      <c r="F2229" s="2" t="s">
        <v>0</v>
      </c>
      <c r="G2229" s="2" t="str">
        <f t="shared" si="108"/>
        <v>01</v>
      </c>
      <c r="H2229" s="3">
        <v>413</v>
      </c>
    </row>
    <row r="2230" spans="1:8" ht="29.25" x14ac:dyDescent="0.25">
      <c r="A2230" s="2" t="str">
        <f>"00062280"</f>
        <v>00062280</v>
      </c>
      <c r="B2230" s="2" t="str">
        <f t="shared" si="106"/>
        <v>SG</v>
      </c>
      <c r="C2230" s="4" t="s">
        <v>1515</v>
      </c>
      <c r="D2230" s="4" t="s">
        <v>0</v>
      </c>
      <c r="E2230" s="4" t="s">
        <v>12</v>
      </c>
      <c r="F2230" s="2" t="s">
        <v>0</v>
      </c>
      <c r="G2230" s="2" t="str">
        <f t="shared" si="108"/>
        <v>01</v>
      </c>
      <c r="H2230" s="3">
        <v>413</v>
      </c>
    </row>
    <row r="2231" spans="1:8" ht="29.25" x14ac:dyDescent="0.25">
      <c r="A2231" s="2" t="str">
        <f>"00062281"</f>
        <v>00062281</v>
      </c>
      <c r="B2231" s="2" t="str">
        <f t="shared" si="106"/>
        <v>SG</v>
      </c>
      <c r="C2231" s="4" t="s">
        <v>1515</v>
      </c>
      <c r="D2231" s="4" t="s">
        <v>0</v>
      </c>
      <c r="E2231" s="4" t="s">
        <v>12</v>
      </c>
      <c r="F2231" s="2" t="s">
        <v>0</v>
      </c>
      <c r="G2231" s="2" t="str">
        <f t="shared" si="108"/>
        <v>01</v>
      </c>
      <c r="H2231" s="3">
        <v>413</v>
      </c>
    </row>
    <row r="2232" spans="1:8" ht="29.25" x14ac:dyDescent="0.25">
      <c r="A2232" s="2" t="str">
        <f>"00062282"</f>
        <v>00062282</v>
      </c>
      <c r="B2232" s="2" t="str">
        <f t="shared" si="106"/>
        <v>SG</v>
      </c>
      <c r="C2232" s="4" t="s">
        <v>1516</v>
      </c>
      <c r="D2232" s="4" t="s">
        <v>0</v>
      </c>
      <c r="E2232" s="4" t="s">
        <v>12</v>
      </c>
      <c r="F2232" s="2" t="s">
        <v>0</v>
      </c>
      <c r="G2232" s="2" t="str">
        <f t="shared" si="108"/>
        <v>01</v>
      </c>
      <c r="H2232" s="3">
        <v>413</v>
      </c>
    </row>
    <row r="2233" spans="1:8" ht="29.25" x14ac:dyDescent="0.25">
      <c r="A2233" s="2" t="str">
        <f>"00062287"</f>
        <v>00062287</v>
      </c>
      <c r="B2233" s="2" t="str">
        <f t="shared" si="106"/>
        <v>SG</v>
      </c>
      <c r="C2233" s="4" t="s">
        <v>1517</v>
      </c>
      <c r="D2233" s="4" t="s">
        <v>0</v>
      </c>
      <c r="E2233" s="4" t="s">
        <v>12</v>
      </c>
      <c r="F2233" s="2" t="s">
        <v>0</v>
      </c>
      <c r="G2233" s="2" t="str">
        <f>"06"</f>
        <v>06</v>
      </c>
      <c r="H2233" s="3">
        <v>1000</v>
      </c>
    </row>
    <row r="2234" spans="1:8" ht="29.25" x14ac:dyDescent="0.25">
      <c r="A2234" s="2" t="str">
        <f>"00062294"</f>
        <v>00062294</v>
      </c>
      <c r="B2234" s="2" t="str">
        <f t="shared" si="106"/>
        <v>SG</v>
      </c>
      <c r="C2234" s="4" t="s">
        <v>1518</v>
      </c>
      <c r="D2234" s="4" t="s">
        <v>0</v>
      </c>
      <c r="E2234" s="4" t="s">
        <v>12</v>
      </c>
      <c r="F2234" s="2" t="s">
        <v>0</v>
      </c>
      <c r="G2234" s="2" t="str">
        <f t="shared" ref="G2234:G2242" si="109">"01"</f>
        <v>01</v>
      </c>
      <c r="H2234" s="3">
        <v>413</v>
      </c>
    </row>
    <row r="2235" spans="1:8" x14ac:dyDescent="0.25">
      <c r="A2235" s="2" t="str">
        <f>"00062320"</f>
        <v>00062320</v>
      </c>
      <c r="B2235" s="2" t="str">
        <f t="shared" si="106"/>
        <v>SG</v>
      </c>
      <c r="C2235" s="4" t="s">
        <v>1519</v>
      </c>
      <c r="D2235" s="4" t="s">
        <v>0</v>
      </c>
      <c r="E2235" s="4" t="s">
        <v>12</v>
      </c>
      <c r="F2235" s="2" t="s">
        <v>0</v>
      </c>
      <c r="G2235" s="2" t="str">
        <f t="shared" si="109"/>
        <v>01</v>
      </c>
      <c r="H2235" s="3">
        <v>413</v>
      </c>
    </row>
    <row r="2236" spans="1:8" ht="57.75" x14ac:dyDescent="0.25">
      <c r="A2236" s="2" t="str">
        <f>"00062321"</f>
        <v>00062321</v>
      </c>
      <c r="B2236" s="2" t="str">
        <f t="shared" si="106"/>
        <v>SG</v>
      </c>
      <c r="C2236" s="4" t="s">
        <v>1520</v>
      </c>
      <c r="D2236" s="4" t="s">
        <v>0</v>
      </c>
      <c r="E2236" s="4" t="s">
        <v>12</v>
      </c>
      <c r="F2236" s="2" t="s">
        <v>0</v>
      </c>
      <c r="G2236" s="2" t="str">
        <f t="shared" si="109"/>
        <v>01</v>
      </c>
      <c r="H2236" s="3">
        <v>413</v>
      </c>
    </row>
    <row r="2237" spans="1:8" x14ac:dyDescent="0.25">
      <c r="A2237" s="2" t="str">
        <f>"00062322"</f>
        <v>00062322</v>
      </c>
      <c r="B2237" s="2" t="str">
        <f t="shared" si="106"/>
        <v>SG</v>
      </c>
      <c r="C2237" s="4" t="s">
        <v>1521</v>
      </c>
      <c r="D2237" s="4" t="s">
        <v>0</v>
      </c>
      <c r="E2237" s="4" t="s">
        <v>12</v>
      </c>
      <c r="F2237" s="2" t="s">
        <v>0</v>
      </c>
      <c r="G2237" s="2" t="str">
        <f t="shared" si="109"/>
        <v>01</v>
      </c>
      <c r="H2237" s="3">
        <v>413</v>
      </c>
    </row>
    <row r="2238" spans="1:8" ht="57.75" x14ac:dyDescent="0.25">
      <c r="A2238" s="2" t="str">
        <f>"00062323"</f>
        <v>00062323</v>
      </c>
      <c r="B2238" s="2" t="str">
        <f t="shared" si="106"/>
        <v>SG</v>
      </c>
      <c r="C2238" s="4" t="s">
        <v>1522</v>
      </c>
      <c r="D2238" s="4" t="s">
        <v>0</v>
      </c>
      <c r="E2238" s="4" t="s">
        <v>12</v>
      </c>
      <c r="F2238" s="2" t="s">
        <v>0</v>
      </c>
      <c r="G2238" s="2" t="str">
        <f t="shared" si="109"/>
        <v>01</v>
      </c>
      <c r="H2238" s="3">
        <v>413</v>
      </c>
    </row>
    <row r="2239" spans="1:8" x14ac:dyDescent="0.25">
      <c r="A2239" s="2" t="str">
        <f>"00062324"</f>
        <v>00062324</v>
      </c>
      <c r="B2239" s="2" t="str">
        <f t="shared" si="106"/>
        <v>SG</v>
      </c>
      <c r="C2239" s="4" t="s">
        <v>1523</v>
      </c>
      <c r="D2239" s="4" t="s">
        <v>0</v>
      </c>
      <c r="E2239" s="4" t="s">
        <v>12</v>
      </c>
      <c r="F2239" s="2" t="s">
        <v>0</v>
      </c>
      <c r="G2239" s="2" t="str">
        <f t="shared" si="109"/>
        <v>01</v>
      </c>
      <c r="H2239" s="3">
        <v>413</v>
      </c>
    </row>
    <row r="2240" spans="1:8" ht="86.25" x14ac:dyDescent="0.25">
      <c r="A2240" s="2" t="str">
        <f>"00062325"</f>
        <v>00062325</v>
      </c>
      <c r="B2240" s="2" t="str">
        <f t="shared" si="106"/>
        <v>SG</v>
      </c>
      <c r="C2240" s="4" t="s">
        <v>1524</v>
      </c>
      <c r="D2240" s="4" t="s">
        <v>0</v>
      </c>
      <c r="E2240" s="4" t="s">
        <v>12</v>
      </c>
      <c r="F2240" s="2" t="s">
        <v>0</v>
      </c>
      <c r="G2240" s="2" t="str">
        <f t="shared" si="109"/>
        <v>01</v>
      </c>
      <c r="H2240" s="3">
        <v>413</v>
      </c>
    </row>
    <row r="2241" spans="1:8" x14ac:dyDescent="0.25">
      <c r="A2241" s="2" t="str">
        <f>"00062326"</f>
        <v>00062326</v>
      </c>
      <c r="B2241" s="2" t="str">
        <f t="shared" si="106"/>
        <v>SG</v>
      </c>
      <c r="C2241" s="4" t="s">
        <v>1525</v>
      </c>
      <c r="D2241" s="4" t="s">
        <v>0</v>
      </c>
      <c r="E2241" s="4" t="s">
        <v>12</v>
      </c>
      <c r="F2241" s="2" t="s">
        <v>0</v>
      </c>
      <c r="G2241" s="2" t="str">
        <f t="shared" si="109"/>
        <v>01</v>
      </c>
      <c r="H2241" s="3">
        <v>413</v>
      </c>
    </row>
    <row r="2242" spans="1:8" ht="86.25" x14ac:dyDescent="0.25">
      <c r="A2242" s="2" t="str">
        <f>"00062327"</f>
        <v>00062327</v>
      </c>
      <c r="B2242" s="2" t="str">
        <f t="shared" si="106"/>
        <v>SG</v>
      </c>
      <c r="C2242" s="4" t="s">
        <v>1526</v>
      </c>
      <c r="D2242" s="4" t="s">
        <v>0</v>
      </c>
      <c r="E2242" s="4" t="s">
        <v>12</v>
      </c>
      <c r="F2242" s="2" t="s">
        <v>0</v>
      </c>
      <c r="G2242" s="2" t="str">
        <f t="shared" si="109"/>
        <v>01</v>
      </c>
      <c r="H2242" s="3">
        <v>413</v>
      </c>
    </row>
    <row r="2243" spans="1:8" ht="29.25" x14ac:dyDescent="0.25">
      <c r="A2243" s="2" t="str">
        <f>"00062350"</f>
        <v>00062350</v>
      </c>
      <c r="B2243" s="2" t="str">
        <f t="shared" si="106"/>
        <v>SG</v>
      </c>
      <c r="C2243" s="4" t="s">
        <v>1527</v>
      </c>
      <c r="D2243" s="4" t="s">
        <v>0</v>
      </c>
      <c r="E2243" s="4" t="s">
        <v>12</v>
      </c>
      <c r="F2243" s="2" t="s">
        <v>0</v>
      </c>
      <c r="G2243" s="2" t="str">
        <f>"06"</f>
        <v>06</v>
      </c>
      <c r="H2243" s="3">
        <v>1000</v>
      </c>
    </row>
    <row r="2244" spans="1:8" ht="29.25" x14ac:dyDescent="0.25">
      <c r="A2244" s="2" t="str">
        <f>"00062355"</f>
        <v>00062355</v>
      </c>
      <c r="B2244" s="2" t="str">
        <f t="shared" si="106"/>
        <v>SG</v>
      </c>
      <c r="C2244" s="4" t="s">
        <v>1528</v>
      </c>
      <c r="D2244" s="4" t="s">
        <v>0</v>
      </c>
      <c r="E2244" s="4" t="s">
        <v>12</v>
      </c>
      <c r="F2244" s="2" t="s">
        <v>0</v>
      </c>
      <c r="G2244" s="2" t="str">
        <f>"02"</f>
        <v>02</v>
      </c>
      <c r="H2244" s="3">
        <v>552</v>
      </c>
    </row>
    <row r="2245" spans="1:8" ht="29.25" x14ac:dyDescent="0.25">
      <c r="A2245" s="2" t="str">
        <f>"00062360"</f>
        <v>00062360</v>
      </c>
      <c r="B2245" s="2" t="str">
        <f t="shared" si="106"/>
        <v>SG</v>
      </c>
      <c r="C2245" s="4" t="s">
        <v>1529</v>
      </c>
      <c r="D2245" s="4" t="s">
        <v>0</v>
      </c>
      <c r="E2245" s="4" t="s">
        <v>12</v>
      </c>
      <c r="F2245" s="2" t="s">
        <v>0</v>
      </c>
      <c r="G2245" s="2" t="str">
        <f>"07"</f>
        <v>07</v>
      </c>
      <c r="H2245" s="3">
        <v>1233</v>
      </c>
    </row>
    <row r="2246" spans="1:8" ht="29.25" x14ac:dyDescent="0.25">
      <c r="A2246" s="2" t="str">
        <f>"00062361"</f>
        <v>00062361</v>
      </c>
      <c r="B2246" s="2" t="str">
        <f t="shared" si="106"/>
        <v>SG</v>
      </c>
      <c r="C2246" s="4" t="s">
        <v>1530</v>
      </c>
      <c r="D2246" s="4" t="s">
        <v>0</v>
      </c>
      <c r="E2246" s="4" t="s">
        <v>12</v>
      </c>
      <c r="F2246" s="2" t="s">
        <v>0</v>
      </c>
      <c r="G2246" s="2" t="str">
        <f>"09"</f>
        <v>09</v>
      </c>
      <c r="H2246" s="3">
        <v>1662</v>
      </c>
    </row>
    <row r="2247" spans="1:8" ht="29.25" x14ac:dyDescent="0.25">
      <c r="A2247" s="2" t="str">
        <f>"00062362"</f>
        <v>00062362</v>
      </c>
      <c r="B2247" s="2" t="str">
        <f t="shared" si="106"/>
        <v>SG</v>
      </c>
      <c r="C2247" s="4" t="s">
        <v>1530</v>
      </c>
      <c r="D2247" s="4" t="s">
        <v>0</v>
      </c>
      <c r="E2247" s="4" t="s">
        <v>12</v>
      </c>
      <c r="F2247" s="2" t="s">
        <v>0</v>
      </c>
      <c r="G2247" s="2" t="str">
        <f>"09"</f>
        <v>09</v>
      </c>
      <c r="H2247" s="3">
        <v>1662</v>
      </c>
    </row>
    <row r="2248" spans="1:8" ht="29.25" x14ac:dyDescent="0.25">
      <c r="A2248" s="2" t="str">
        <f>"00062365"</f>
        <v>00062365</v>
      </c>
      <c r="B2248" s="2" t="str">
        <f t="shared" si="106"/>
        <v>SG</v>
      </c>
      <c r="C2248" s="4" t="s">
        <v>1531</v>
      </c>
      <c r="D2248" s="4" t="s">
        <v>0</v>
      </c>
      <c r="E2248" s="4" t="s">
        <v>12</v>
      </c>
      <c r="F2248" s="2" t="s">
        <v>0</v>
      </c>
      <c r="G2248" s="2" t="str">
        <f>"09"</f>
        <v>09</v>
      </c>
      <c r="H2248" s="3">
        <v>1662</v>
      </c>
    </row>
    <row r="2249" spans="1:8" ht="29.25" x14ac:dyDescent="0.25">
      <c r="A2249" s="2" t="str">
        <f>"00063600"</f>
        <v>00063600</v>
      </c>
      <c r="B2249" s="2" t="str">
        <f t="shared" si="106"/>
        <v>SG</v>
      </c>
      <c r="C2249" s="4" t="s">
        <v>1532</v>
      </c>
      <c r="D2249" s="4" t="s">
        <v>0</v>
      </c>
      <c r="E2249" s="4" t="s">
        <v>12</v>
      </c>
      <c r="F2249" s="2" t="s">
        <v>0</v>
      </c>
      <c r="G2249" s="2" t="str">
        <f>"01"</f>
        <v>01</v>
      </c>
      <c r="H2249" s="3">
        <v>413</v>
      </c>
    </row>
    <row r="2250" spans="1:8" ht="29.25" x14ac:dyDescent="0.25">
      <c r="A2250" s="2" t="str">
        <f>"00063610"</f>
        <v>00063610</v>
      </c>
      <c r="B2250" s="2" t="str">
        <f t="shared" si="106"/>
        <v>SG</v>
      </c>
      <c r="C2250" s="4" t="s">
        <v>1533</v>
      </c>
      <c r="D2250" s="4" t="s">
        <v>0</v>
      </c>
      <c r="E2250" s="4" t="s">
        <v>12</v>
      </c>
      <c r="F2250" s="2" t="s">
        <v>0</v>
      </c>
      <c r="G2250" s="2" t="str">
        <f>"01"</f>
        <v>01</v>
      </c>
      <c r="H2250" s="3">
        <v>413</v>
      </c>
    </row>
    <row r="2251" spans="1:8" ht="29.25" x14ac:dyDescent="0.25">
      <c r="A2251" s="2" t="str">
        <f>"00063650"</f>
        <v>00063650</v>
      </c>
      <c r="B2251" s="2" t="str">
        <f t="shared" si="106"/>
        <v>SG</v>
      </c>
      <c r="C2251" s="4" t="s">
        <v>1534</v>
      </c>
      <c r="D2251" s="4" t="s">
        <v>0</v>
      </c>
      <c r="E2251" s="4" t="s">
        <v>12</v>
      </c>
      <c r="F2251" s="2" t="s">
        <v>0</v>
      </c>
      <c r="G2251" s="2" t="str">
        <f>"09"</f>
        <v>09</v>
      </c>
      <c r="H2251" s="3">
        <v>1662</v>
      </c>
    </row>
    <row r="2252" spans="1:8" ht="43.5" x14ac:dyDescent="0.25">
      <c r="A2252" s="2" t="str">
        <f>"00063661"</f>
        <v>00063661</v>
      </c>
      <c r="B2252" s="2" t="str">
        <f t="shared" si="106"/>
        <v>SG</v>
      </c>
      <c r="C2252" s="4" t="s">
        <v>1535</v>
      </c>
      <c r="D2252" s="4" t="s">
        <v>0</v>
      </c>
      <c r="E2252" s="4" t="s">
        <v>12</v>
      </c>
      <c r="F2252" s="2" t="s">
        <v>0</v>
      </c>
      <c r="G2252" s="2" t="str">
        <f>"01"</f>
        <v>01</v>
      </c>
      <c r="H2252" s="3">
        <v>413</v>
      </c>
    </row>
    <row r="2253" spans="1:8" ht="29.25" x14ac:dyDescent="0.25">
      <c r="A2253" s="2" t="str">
        <f>"00063662"</f>
        <v>00063662</v>
      </c>
      <c r="B2253" s="2" t="str">
        <f t="shared" ref="B2253:B2316" si="110">"SG"</f>
        <v>SG</v>
      </c>
      <c r="C2253" s="4" t="s">
        <v>1536</v>
      </c>
      <c r="D2253" s="4" t="s">
        <v>0</v>
      </c>
      <c r="E2253" s="4" t="s">
        <v>12</v>
      </c>
      <c r="F2253" s="2" t="s">
        <v>0</v>
      </c>
      <c r="G2253" s="2" t="str">
        <f>"03"</f>
        <v>03</v>
      </c>
      <c r="H2253" s="3">
        <v>637</v>
      </c>
    </row>
    <row r="2254" spans="1:8" ht="29.25" x14ac:dyDescent="0.25">
      <c r="A2254" s="2" t="str">
        <f>"00063663"</f>
        <v>00063663</v>
      </c>
      <c r="B2254" s="2" t="str">
        <f t="shared" si="110"/>
        <v>SG</v>
      </c>
      <c r="C2254" s="4" t="s">
        <v>1537</v>
      </c>
      <c r="D2254" s="4" t="s">
        <v>0</v>
      </c>
      <c r="E2254" s="4" t="s">
        <v>12</v>
      </c>
      <c r="F2254" s="2" t="s">
        <v>0</v>
      </c>
      <c r="G2254" s="2" t="str">
        <f>"09"</f>
        <v>09</v>
      </c>
      <c r="H2254" s="3">
        <v>1662</v>
      </c>
    </row>
    <row r="2255" spans="1:8" ht="29.25" x14ac:dyDescent="0.25">
      <c r="A2255" s="2" t="str">
        <f>"00063664"</f>
        <v>00063664</v>
      </c>
      <c r="B2255" s="2" t="str">
        <f t="shared" si="110"/>
        <v>SG</v>
      </c>
      <c r="C2255" s="4" t="s">
        <v>1538</v>
      </c>
      <c r="D2255" s="4" t="s">
        <v>0</v>
      </c>
      <c r="E2255" s="4" t="s">
        <v>12</v>
      </c>
      <c r="F2255" s="2" t="s">
        <v>0</v>
      </c>
      <c r="G2255" s="2" t="str">
        <f>"09"</f>
        <v>09</v>
      </c>
      <c r="H2255" s="3">
        <v>1662</v>
      </c>
    </row>
    <row r="2256" spans="1:8" ht="29.25" x14ac:dyDescent="0.25">
      <c r="A2256" s="2" t="str">
        <f>"00063685"</f>
        <v>00063685</v>
      </c>
      <c r="B2256" s="2" t="str">
        <f t="shared" si="110"/>
        <v>SG</v>
      </c>
      <c r="C2256" s="4" t="s">
        <v>1539</v>
      </c>
      <c r="D2256" s="4" t="s">
        <v>0</v>
      </c>
      <c r="E2256" s="4" t="s">
        <v>12</v>
      </c>
      <c r="F2256" s="2" t="s">
        <v>0</v>
      </c>
      <c r="G2256" s="2" t="str">
        <f>"09"</f>
        <v>09</v>
      </c>
      <c r="H2256" s="3">
        <v>1662</v>
      </c>
    </row>
    <row r="2257" spans="1:8" ht="29.25" x14ac:dyDescent="0.25">
      <c r="A2257" s="2" t="str">
        <f>"00063688"</f>
        <v>00063688</v>
      </c>
      <c r="B2257" s="2" t="str">
        <f t="shared" si="110"/>
        <v>SG</v>
      </c>
      <c r="C2257" s="4" t="s">
        <v>1505</v>
      </c>
      <c r="D2257" s="4" t="s">
        <v>0</v>
      </c>
      <c r="E2257" s="4" t="s">
        <v>12</v>
      </c>
      <c r="F2257" s="2" t="s">
        <v>0</v>
      </c>
      <c r="G2257" s="2" t="str">
        <f>"03"</f>
        <v>03</v>
      </c>
      <c r="H2257" s="3">
        <v>637</v>
      </c>
    </row>
    <row r="2258" spans="1:8" x14ac:dyDescent="0.25">
      <c r="A2258" s="2" t="str">
        <f>"00063744"</f>
        <v>00063744</v>
      </c>
      <c r="B2258" s="2" t="str">
        <f t="shared" si="110"/>
        <v>SG</v>
      </c>
      <c r="C2258" s="4" t="s">
        <v>1540</v>
      </c>
      <c r="D2258" s="4" t="s">
        <v>0</v>
      </c>
      <c r="E2258" s="4" t="s">
        <v>12</v>
      </c>
      <c r="F2258" s="2" t="s">
        <v>0</v>
      </c>
      <c r="G2258" s="2" t="str">
        <f>"03"</f>
        <v>03</v>
      </c>
      <c r="H2258" s="3">
        <v>637</v>
      </c>
    </row>
    <row r="2259" spans="1:8" x14ac:dyDescent="0.25">
      <c r="A2259" s="2" t="str">
        <f>"00063746"</f>
        <v>00063746</v>
      </c>
      <c r="B2259" s="2" t="str">
        <f t="shared" si="110"/>
        <v>SG</v>
      </c>
      <c r="C2259" s="4" t="s">
        <v>1541</v>
      </c>
      <c r="D2259" s="4" t="s">
        <v>0</v>
      </c>
      <c r="E2259" s="4" t="s">
        <v>12</v>
      </c>
      <c r="F2259" s="2" t="s">
        <v>0</v>
      </c>
      <c r="G2259" s="2" t="str">
        <f>"02"</f>
        <v>02</v>
      </c>
      <c r="H2259" s="3">
        <v>552</v>
      </c>
    </row>
    <row r="2260" spans="1:8" ht="29.25" x14ac:dyDescent="0.25">
      <c r="A2260" s="2" t="str">
        <f>"00064415"</f>
        <v>00064415</v>
      </c>
      <c r="B2260" s="2" t="str">
        <f t="shared" si="110"/>
        <v>SG</v>
      </c>
      <c r="C2260" s="4" t="s">
        <v>1542</v>
      </c>
      <c r="D2260" s="4" t="s">
        <v>0</v>
      </c>
      <c r="E2260" s="4" t="s">
        <v>12</v>
      </c>
      <c r="F2260" s="2" t="s">
        <v>0</v>
      </c>
      <c r="G2260" s="2" t="str">
        <f t="shared" ref="G2260:G2277" si="111">"01"</f>
        <v>01</v>
      </c>
      <c r="H2260" s="3">
        <v>413</v>
      </c>
    </row>
    <row r="2261" spans="1:8" x14ac:dyDescent="0.25">
      <c r="A2261" s="2" t="str">
        <f>"00064417"</f>
        <v>00064417</v>
      </c>
      <c r="B2261" s="2" t="str">
        <f t="shared" si="110"/>
        <v>SG</v>
      </c>
      <c r="C2261" s="4" t="s">
        <v>1543</v>
      </c>
      <c r="D2261" s="4" t="s">
        <v>0</v>
      </c>
      <c r="E2261" s="4" t="s">
        <v>12</v>
      </c>
      <c r="F2261" s="2" t="s">
        <v>0</v>
      </c>
      <c r="G2261" s="2" t="str">
        <f t="shared" si="111"/>
        <v>01</v>
      </c>
      <c r="H2261" s="3">
        <v>413</v>
      </c>
    </row>
    <row r="2262" spans="1:8" ht="29.25" x14ac:dyDescent="0.25">
      <c r="A2262" s="2" t="str">
        <f>"00064420"</f>
        <v>00064420</v>
      </c>
      <c r="B2262" s="2" t="str">
        <f t="shared" si="110"/>
        <v>SG</v>
      </c>
      <c r="C2262" s="4" t="s">
        <v>1544</v>
      </c>
      <c r="D2262" s="4" t="s">
        <v>0</v>
      </c>
      <c r="E2262" s="4" t="s">
        <v>12</v>
      </c>
      <c r="F2262" s="2" t="s">
        <v>0</v>
      </c>
      <c r="G2262" s="2" t="str">
        <f t="shared" si="111"/>
        <v>01</v>
      </c>
      <c r="H2262" s="3">
        <v>413</v>
      </c>
    </row>
    <row r="2263" spans="1:8" ht="29.25" x14ac:dyDescent="0.25">
      <c r="A2263" s="2" t="str">
        <f>"00064421"</f>
        <v>00064421</v>
      </c>
      <c r="B2263" s="2" t="str">
        <f t="shared" si="110"/>
        <v>SG</v>
      </c>
      <c r="C2263" s="4" t="s">
        <v>1545</v>
      </c>
      <c r="D2263" s="4" t="s">
        <v>0</v>
      </c>
      <c r="E2263" s="4" t="s">
        <v>12</v>
      </c>
      <c r="F2263" s="2" t="s">
        <v>0</v>
      </c>
      <c r="G2263" s="2" t="str">
        <f t="shared" si="111"/>
        <v>01</v>
      </c>
      <c r="H2263" s="3">
        <v>413</v>
      </c>
    </row>
    <row r="2264" spans="1:8" x14ac:dyDescent="0.25">
      <c r="A2264" s="2" t="str">
        <f>"00064430"</f>
        <v>00064430</v>
      </c>
      <c r="B2264" s="2" t="str">
        <f t="shared" si="110"/>
        <v>SG</v>
      </c>
      <c r="C2264" s="4" t="s">
        <v>1546</v>
      </c>
      <c r="D2264" s="4" t="s">
        <v>0</v>
      </c>
      <c r="E2264" s="4" t="s">
        <v>12</v>
      </c>
      <c r="F2264" s="2" t="s">
        <v>0</v>
      </c>
      <c r="G2264" s="2" t="str">
        <f t="shared" si="111"/>
        <v>01</v>
      </c>
      <c r="H2264" s="3">
        <v>413</v>
      </c>
    </row>
    <row r="2265" spans="1:8" x14ac:dyDescent="0.25">
      <c r="A2265" s="2" t="str">
        <f>"00064479"</f>
        <v>00064479</v>
      </c>
      <c r="B2265" s="2" t="str">
        <f t="shared" si="110"/>
        <v>SG</v>
      </c>
      <c r="C2265" s="4" t="s">
        <v>1547</v>
      </c>
      <c r="D2265" s="4" t="s">
        <v>0</v>
      </c>
      <c r="E2265" s="4" t="s">
        <v>12</v>
      </c>
      <c r="F2265" s="2" t="s">
        <v>0</v>
      </c>
      <c r="G2265" s="2" t="str">
        <f t="shared" si="111"/>
        <v>01</v>
      </c>
      <c r="H2265" s="3">
        <v>413</v>
      </c>
    </row>
    <row r="2266" spans="1:8" ht="29.25" x14ac:dyDescent="0.25">
      <c r="A2266" s="2" t="str">
        <f>"00064480"</f>
        <v>00064480</v>
      </c>
      <c r="B2266" s="2" t="str">
        <f t="shared" si="110"/>
        <v>SG</v>
      </c>
      <c r="C2266" s="4" t="s">
        <v>1548</v>
      </c>
      <c r="D2266" s="4" t="s">
        <v>0</v>
      </c>
      <c r="E2266" s="4" t="s">
        <v>12</v>
      </c>
      <c r="F2266" s="2" t="s">
        <v>0</v>
      </c>
      <c r="G2266" s="2" t="str">
        <f t="shared" si="111"/>
        <v>01</v>
      </c>
      <c r="H2266" s="3">
        <v>413</v>
      </c>
    </row>
    <row r="2267" spans="1:8" x14ac:dyDescent="0.25">
      <c r="A2267" s="2" t="str">
        <f>"00064483"</f>
        <v>00064483</v>
      </c>
      <c r="B2267" s="2" t="str">
        <f t="shared" si="110"/>
        <v>SG</v>
      </c>
      <c r="C2267" s="4" t="s">
        <v>1549</v>
      </c>
      <c r="D2267" s="4" t="s">
        <v>0</v>
      </c>
      <c r="E2267" s="4" t="s">
        <v>12</v>
      </c>
      <c r="F2267" s="2" t="s">
        <v>0</v>
      </c>
      <c r="G2267" s="2" t="str">
        <f t="shared" si="111"/>
        <v>01</v>
      </c>
      <c r="H2267" s="3">
        <v>413</v>
      </c>
    </row>
    <row r="2268" spans="1:8" ht="29.25" x14ac:dyDescent="0.25">
      <c r="A2268" s="2" t="str">
        <f>"00064484"</f>
        <v>00064484</v>
      </c>
      <c r="B2268" s="2" t="str">
        <f t="shared" si="110"/>
        <v>SG</v>
      </c>
      <c r="C2268" s="4" t="s">
        <v>1548</v>
      </c>
      <c r="D2268" s="4" t="s">
        <v>0</v>
      </c>
      <c r="E2268" s="4" t="s">
        <v>12</v>
      </c>
      <c r="F2268" s="2" t="s">
        <v>0</v>
      </c>
      <c r="G2268" s="2" t="str">
        <f t="shared" si="111"/>
        <v>01</v>
      </c>
      <c r="H2268" s="3">
        <v>413</v>
      </c>
    </row>
    <row r="2269" spans="1:8" ht="29.25" x14ac:dyDescent="0.25">
      <c r="A2269" s="2" t="str">
        <f>"00064490"</f>
        <v>00064490</v>
      </c>
      <c r="B2269" s="2" t="str">
        <f t="shared" si="110"/>
        <v>SG</v>
      </c>
      <c r="C2269" s="4" t="s">
        <v>1550</v>
      </c>
      <c r="D2269" s="4" t="s">
        <v>0</v>
      </c>
      <c r="E2269" s="4" t="s">
        <v>12</v>
      </c>
      <c r="F2269" s="2" t="s">
        <v>0</v>
      </c>
      <c r="G2269" s="2" t="str">
        <f t="shared" si="111"/>
        <v>01</v>
      </c>
      <c r="H2269" s="3">
        <v>413</v>
      </c>
    </row>
    <row r="2270" spans="1:8" ht="100.5" x14ac:dyDescent="0.25">
      <c r="A2270" s="2" t="str">
        <f>"00064491"</f>
        <v>00064491</v>
      </c>
      <c r="B2270" s="2" t="str">
        <f t="shared" si="110"/>
        <v>SG</v>
      </c>
      <c r="C2270" s="4" t="s">
        <v>1551</v>
      </c>
      <c r="D2270" s="4" t="s">
        <v>0</v>
      </c>
      <c r="E2270" s="4" t="s">
        <v>12</v>
      </c>
      <c r="F2270" s="2" t="s">
        <v>0</v>
      </c>
      <c r="G2270" s="2" t="str">
        <f t="shared" si="111"/>
        <v>01</v>
      </c>
      <c r="H2270" s="3">
        <v>413</v>
      </c>
    </row>
    <row r="2271" spans="1:8" ht="29.25" x14ac:dyDescent="0.25">
      <c r="A2271" s="2" t="str">
        <f>"00064493"</f>
        <v>00064493</v>
      </c>
      <c r="B2271" s="2" t="str">
        <f t="shared" si="110"/>
        <v>SG</v>
      </c>
      <c r="C2271" s="4" t="s">
        <v>1552</v>
      </c>
      <c r="D2271" s="4" t="s">
        <v>0</v>
      </c>
      <c r="E2271" s="4" t="s">
        <v>12</v>
      </c>
      <c r="F2271" s="2" t="s">
        <v>0</v>
      </c>
      <c r="G2271" s="2" t="str">
        <f t="shared" si="111"/>
        <v>01</v>
      </c>
      <c r="H2271" s="3">
        <v>413</v>
      </c>
    </row>
    <row r="2272" spans="1:8" ht="100.5" x14ac:dyDescent="0.25">
      <c r="A2272" s="2" t="str">
        <f>"00064494"</f>
        <v>00064494</v>
      </c>
      <c r="B2272" s="2" t="str">
        <f t="shared" si="110"/>
        <v>SG</v>
      </c>
      <c r="C2272" s="4" t="s">
        <v>1551</v>
      </c>
      <c r="D2272" s="4" t="s">
        <v>0</v>
      </c>
      <c r="E2272" s="4" t="s">
        <v>12</v>
      </c>
      <c r="F2272" s="2" t="s">
        <v>0</v>
      </c>
      <c r="G2272" s="2" t="str">
        <f t="shared" si="111"/>
        <v>01</v>
      </c>
      <c r="H2272" s="3">
        <v>413</v>
      </c>
    </row>
    <row r="2273" spans="1:8" ht="100.5" x14ac:dyDescent="0.25">
      <c r="A2273" s="2" t="str">
        <f>"00064495"</f>
        <v>00064495</v>
      </c>
      <c r="B2273" s="2" t="str">
        <f t="shared" si="110"/>
        <v>SG</v>
      </c>
      <c r="C2273" s="4" t="s">
        <v>1551</v>
      </c>
      <c r="D2273" s="4" t="s">
        <v>0</v>
      </c>
      <c r="E2273" s="4" t="s">
        <v>12</v>
      </c>
      <c r="F2273" s="2" t="s">
        <v>0</v>
      </c>
      <c r="G2273" s="2" t="str">
        <f t="shared" si="111"/>
        <v>01</v>
      </c>
      <c r="H2273" s="3">
        <v>413</v>
      </c>
    </row>
    <row r="2274" spans="1:8" ht="29.25" x14ac:dyDescent="0.25">
      <c r="A2274" s="2" t="str">
        <f>"00064510"</f>
        <v>00064510</v>
      </c>
      <c r="B2274" s="2" t="str">
        <f t="shared" si="110"/>
        <v>SG</v>
      </c>
      <c r="C2274" s="4" t="s">
        <v>1553</v>
      </c>
      <c r="D2274" s="4" t="s">
        <v>0</v>
      </c>
      <c r="E2274" s="4" t="s">
        <v>12</v>
      </c>
      <c r="F2274" s="2" t="s">
        <v>0</v>
      </c>
      <c r="G2274" s="2" t="str">
        <f t="shared" si="111"/>
        <v>01</v>
      </c>
      <c r="H2274" s="3">
        <v>413</v>
      </c>
    </row>
    <row r="2275" spans="1:8" ht="29.25" x14ac:dyDescent="0.25">
      <c r="A2275" s="2" t="str">
        <f>"00064517"</f>
        <v>00064517</v>
      </c>
      <c r="B2275" s="2" t="str">
        <f t="shared" si="110"/>
        <v>SG</v>
      </c>
      <c r="C2275" s="4" t="s">
        <v>1554</v>
      </c>
      <c r="D2275" s="4" t="s">
        <v>0</v>
      </c>
      <c r="E2275" s="4" t="s">
        <v>12</v>
      </c>
      <c r="F2275" s="2" t="s">
        <v>0</v>
      </c>
      <c r="G2275" s="2" t="str">
        <f t="shared" si="111"/>
        <v>01</v>
      </c>
      <c r="H2275" s="3">
        <v>413</v>
      </c>
    </row>
    <row r="2276" spans="1:8" ht="29.25" x14ac:dyDescent="0.25">
      <c r="A2276" s="2" t="str">
        <f>"00064520"</f>
        <v>00064520</v>
      </c>
      <c r="B2276" s="2" t="str">
        <f t="shared" si="110"/>
        <v>SG</v>
      </c>
      <c r="C2276" s="4" t="s">
        <v>1555</v>
      </c>
      <c r="D2276" s="4" t="s">
        <v>0</v>
      </c>
      <c r="E2276" s="4" t="s">
        <v>12</v>
      </c>
      <c r="F2276" s="2" t="s">
        <v>0</v>
      </c>
      <c r="G2276" s="2" t="str">
        <f t="shared" si="111"/>
        <v>01</v>
      </c>
      <c r="H2276" s="3">
        <v>413</v>
      </c>
    </row>
    <row r="2277" spans="1:8" x14ac:dyDescent="0.25">
      <c r="A2277" s="2" t="str">
        <f>"00064530"</f>
        <v>00064530</v>
      </c>
      <c r="B2277" s="2" t="str">
        <f t="shared" si="110"/>
        <v>SG</v>
      </c>
      <c r="C2277" s="4" t="s">
        <v>1556</v>
      </c>
      <c r="D2277" s="4" t="s">
        <v>0</v>
      </c>
      <c r="E2277" s="4" t="s">
        <v>12</v>
      </c>
      <c r="F2277" s="2" t="s">
        <v>0</v>
      </c>
      <c r="G2277" s="2" t="str">
        <f t="shared" si="111"/>
        <v>01</v>
      </c>
      <c r="H2277" s="3">
        <v>413</v>
      </c>
    </row>
    <row r="2278" spans="1:8" ht="29.25" x14ac:dyDescent="0.25">
      <c r="A2278" s="2" t="str">
        <f>"00064553"</f>
        <v>00064553</v>
      </c>
      <c r="B2278" s="2" t="str">
        <f t="shared" si="110"/>
        <v>SG</v>
      </c>
      <c r="C2278" s="4" t="s">
        <v>1534</v>
      </c>
      <c r="D2278" s="4" t="s">
        <v>0</v>
      </c>
      <c r="E2278" s="4" t="s">
        <v>12</v>
      </c>
      <c r="F2278" s="2" t="s">
        <v>0</v>
      </c>
      <c r="G2278" s="2" t="str">
        <f t="shared" ref="G2278:G2283" si="112">"09"</f>
        <v>09</v>
      </c>
      <c r="H2278" s="3">
        <v>1662</v>
      </c>
    </row>
    <row r="2279" spans="1:8" ht="29.25" x14ac:dyDescent="0.25">
      <c r="A2279" s="2" t="str">
        <f>"00064555"</f>
        <v>00064555</v>
      </c>
      <c r="B2279" s="2" t="str">
        <f t="shared" si="110"/>
        <v>SG</v>
      </c>
      <c r="C2279" s="4" t="s">
        <v>1557</v>
      </c>
      <c r="D2279" s="4" t="s">
        <v>0</v>
      </c>
      <c r="E2279" s="4" t="s">
        <v>12</v>
      </c>
      <c r="F2279" s="2" t="s">
        <v>0</v>
      </c>
      <c r="G2279" s="2" t="str">
        <f t="shared" si="112"/>
        <v>09</v>
      </c>
      <c r="H2279" s="3">
        <v>1662</v>
      </c>
    </row>
    <row r="2280" spans="1:8" ht="29.25" x14ac:dyDescent="0.25">
      <c r="A2280" s="2" t="str">
        <f>"00064561"</f>
        <v>00064561</v>
      </c>
      <c r="B2280" s="2" t="str">
        <f t="shared" si="110"/>
        <v>SG</v>
      </c>
      <c r="C2280" s="4" t="s">
        <v>1534</v>
      </c>
      <c r="D2280" s="4" t="s">
        <v>0</v>
      </c>
      <c r="E2280" s="4" t="s">
        <v>12</v>
      </c>
      <c r="F2280" s="2" t="s">
        <v>0</v>
      </c>
      <c r="G2280" s="2" t="str">
        <f t="shared" si="112"/>
        <v>09</v>
      </c>
      <c r="H2280" s="3">
        <v>1662</v>
      </c>
    </row>
    <row r="2281" spans="1:8" ht="29.25" x14ac:dyDescent="0.25">
      <c r="A2281" s="2" t="str">
        <f>"00064575"</f>
        <v>00064575</v>
      </c>
      <c r="B2281" s="2" t="str">
        <f t="shared" si="110"/>
        <v>SG</v>
      </c>
      <c r="C2281" s="4" t="s">
        <v>1534</v>
      </c>
      <c r="D2281" s="4" t="s">
        <v>0</v>
      </c>
      <c r="E2281" s="4" t="s">
        <v>12</v>
      </c>
      <c r="F2281" s="2" t="s">
        <v>0</v>
      </c>
      <c r="G2281" s="2" t="str">
        <f t="shared" si="112"/>
        <v>09</v>
      </c>
      <c r="H2281" s="3">
        <v>1662</v>
      </c>
    </row>
    <row r="2282" spans="1:8" ht="29.25" x14ac:dyDescent="0.25">
      <c r="A2282" s="2" t="str">
        <f>"00064580"</f>
        <v>00064580</v>
      </c>
      <c r="B2282" s="2" t="str">
        <f t="shared" si="110"/>
        <v>SG</v>
      </c>
      <c r="C2282" s="4" t="s">
        <v>1534</v>
      </c>
      <c r="D2282" s="4" t="s">
        <v>0</v>
      </c>
      <c r="E2282" s="4" t="s">
        <v>12</v>
      </c>
      <c r="F2282" s="2" t="s">
        <v>0</v>
      </c>
      <c r="G2282" s="2" t="str">
        <f t="shared" si="112"/>
        <v>09</v>
      </c>
      <c r="H2282" s="3">
        <v>1662</v>
      </c>
    </row>
    <row r="2283" spans="1:8" ht="29.25" x14ac:dyDescent="0.25">
      <c r="A2283" s="2" t="str">
        <f>"00064581"</f>
        <v>00064581</v>
      </c>
      <c r="B2283" s="2" t="str">
        <f t="shared" si="110"/>
        <v>SG</v>
      </c>
      <c r="C2283" s="4" t="s">
        <v>1534</v>
      </c>
      <c r="D2283" s="4" t="s">
        <v>0</v>
      </c>
      <c r="E2283" s="4" t="s">
        <v>12</v>
      </c>
      <c r="F2283" s="2" t="s">
        <v>0</v>
      </c>
      <c r="G2283" s="2" t="str">
        <f t="shared" si="112"/>
        <v>09</v>
      </c>
      <c r="H2283" s="3">
        <v>1662</v>
      </c>
    </row>
    <row r="2284" spans="1:8" ht="29.25" x14ac:dyDescent="0.25">
      <c r="A2284" s="2" t="str">
        <f>"00064585"</f>
        <v>00064585</v>
      </c>
      <c r="B2284" s="2" t="str">
        <f t="shared" si="110"/>
        <v>SG</v>
      </c>
      <c r="C2284" s="4" t="s">
        <v>1558</v>
      </c>
      <c r="D2284" s="4" t="s">
        <v>0</v>
      </c>
      <c r="E2284" s="4" t="s">
        <v>12</v>
      </c>
      <c r="F2284" s="2" t="s">
        <v>0</v>
      </c>
      <c r="G2284" s="2" t="str">
        <f>"03"</f>
        <v>03</v>
      </c>
      <c r="H2284" s="3">
        <v>637</v>
      </c>
    </row>
    <row r="2285" spans="1:8" ht="29.25" x14ac:dyDescent="0.25">
      <c r="A2285" s="2" t="str">
        <f>"00064590"</f>
        <v>00064590</v>
      </c>
      <c r="B2285" s="2" t="str">
        <f t="shared" si="110"/>
        <v>SG</v>
      </c>
      <c r="C2285" s="4" t="s">
        <v>1559</v>
      </c>
      <c r="D2285" s="4" t="s">
        <v>0</v>
      </c>
      <c r="E2285" s="4" t="s">
        <v>12</v>
      </c>
      <c r="F2285" s="2" t="s">
        <v>0</v>
      </c>
      <c r="G2285" s="2" t="str">
        <f>"09"</f>
        <v>09</v>
      </c>
      <c r="H2285" s="3">
        <v>1662</v>
      </c>
    </row>
    <row r="2286" spans="1:8" ht="29.25" x14ac:dyDescent="0.25">
      <c r="A2286" s="2" t="str">
        <f>"00064595"</f>
        <v>00064595</v>
      </c>
      <c r="B2286" s="2" t="str">
        <f t="shared" si="110"/>
        <v>SG</v>
      </c>
      <c r="C2286" s="4" t="s">
        <v>1560</v>
      </c>
      <c r="D2286" s="4" t="s">
        <v>0</v>
      </c>
      <c r="E2286" s="4" t="s">
        <v>12</v>
      </c>
      <c r="F2286" s="2" t="s">
        <v>0</v>
      </c>
      <c r="G2286" s="2" t="str">
        <f>"03"</f>
        <v>03</v>
      </c>
      <c r="H2286" s="3">
        <v>637</v>
      </c>
    </row>
    <row r="2287" spans="1:8" ht="29.25" x14ac:dyDescent="0.25">
      <c r="A2287" s="2" t="str">
        <f>"00064600"</f>
        <v>00064600</v>
      </c>
      <c r="B2287" s="2" t="str">
        <f t="shared" si="110"/>
        <v>SG</v>
      </c>
      <c r="C2287" s="4" t="s">
        <v>1561</v>
      </c>
      <c r="D2287" s="4" t="s">
        <v>0</v>
      </c>
      <c r="E2287" s="4" t="s">
        <v>12</v>
      </c>
      <c r="F2287" s="2" t="s">
        <v>0</v>
      </c>
      <c r="G2287" s="2" t="str">
        <f>"02"</f>
        <v>02</v>
      </c>
      <c r="H2287" s="3">
        <v>552</v>
      </c>
    </row>
    <row r="2288" spans="1:8" ht="29.25" x14ac:dyDescent="0.25">
      <c r="A2288" s="2" t="str">
        <f>"00064605"</f>
        <v>00064605</v>
      </c>
      <c r="B2288" s="2" t="str">
        <f t="shared" si="110"/>
        <v>SG</v>
      </c>
      <c r="C2288" s="4" t="s">
        <v>1561</v>
      </c>
      <c r="D2288" s="4" t="s">
        <v>0</v>
      </c>
      <c r="E2288" s="4" t="s">
        <v>12</v>
      </c>
      <c r="F2288" s="2" t="s">
        <v>0</v>
      </c>
      <c r="G2288" s="2" t="str">
        <f t="shared" ref="G2288:G2297" si="113">"01"</f>
        <v>01</v>
      </c>
      <c r="H2288" s="3">
        <v>413</v>
      </c>
    </row>
    <row r="2289" spans="1:8" ht="29.25" x14ac:dyDescent="0.25">
      <c r="A2289" s="2" t="str">
        <f>"00064610"</f>
        <v>00064610</v>
      </c>
      <c r="B2289" s="2" t="str">
        <f t="shared" si="110"/>
        <v>SG</v>
      </c>
      <c r="C2289" s="4" t="s">
        <v>1561</v>
      </c>
      <c r="D2289" s="4" t="s">
        <v>0</v>
      </c>
      <c r="E2289" s="4" t="s">
        <v>12</v>
      </c>
      <c r="F2289" s="2" t="s">
        <v>0</v>
      </c>
      <c r="G2289" s="2" t="str">
        <f t="shared" si="113"/>
        <v>01</v>
      </c>
      <c r="H2289" s="3">
        <v>413</v>
      </c>
    </row>
    <row r="2290" spans="1:8" ht="29.25" x14ac:dyDescent="0.25">
      <c r="A2290" s="2" t="str">
        <f>"00064620"</f>
        <v>00064620</v>
      </c>
      <c r="B2290" s="2" t="str">
        <f t="shared" si="110"/>
        <v>SG</v>
      </c>
      <c r="C2290" s="4" t="s">
        <v>1561</v>
      </c>
      <c r="D2290" s="4" t="s">
        <v>0</v>
      </c>
      <c r="E2290" s="4" t="s">
        <v>12</v>
      </c>
      <c r="F2290" s="2" t="s">
        <v>0</v>
      </c>
      <c r="G2290" s="2" t="str">
        <f t="shared" si="113"/>
        <v>01</v>
      </c>
      <c r="H2290" s="3">
        <v>413</v>
      </c>
    </row>
    <row r="2291" spans="1:8" ht="29.25" x14ac:dyDescent="0.25">
      <c r="A2291" s="2" t="str">
        <f>"00064630"</f>
        <v>00064630</v>
      </c>
      <c r="B2291" s="2" t="str">
        <f t="shared" si="110"/>
        <v>SG</v>
      </c>
      <c r="C2291" s="4" t="s">
        <v>1561</v>
      </c>
      <c r="D2291" s="4" t="s">
        <v>0</v>
      </c>
      <c r="E2291" s="4" t="s">
        <v>12</v>
      </c>
      <c r="F2291" s="2" t="s">
        <v>0</v>
      </c>
      <c r="G2291" s="2" t="str">
        <f t="shared" si="113"/>
        <v>01</v>
      </c>
      <c r="H2291" s="3">
        <v>413</v>
      </c>
    </row>
    <row r="2292" spans="1:8" ht="29.25" x14ac:dyDescent="0.25">
      <c r="A2292" s="2" t="str">
        <f>"00064632"</f>
        <v>00064632</v>
      </c>
      <c r="B2292" s="2" t="str">
        <f t="shared" si="110"/>
        <v>SG</v>
      </c>
      <c r="C2292" s="4" t="s">
        <v>1562</v>
      </c>
      <c r="D2292" s="4" t="s">
        <v>0</v>
      </c>
      <c r="E2292" s="4" t="s">
        <v>12</v>
      </c>
      <c r="F2292" s="2" t="s">
        <v>0</v>
      </c>
      <c r="G2292" s="2" t="str">
        <f t="shared" si="113"/>
        <v>01</v>
      </c>
      <c r="H2292" s="3">
        <v>413</v>
      </c>
    </row>
    <row r="2293" spans="1:8" ht="114.75" x14ac:dyDescent="0.25">
      <c r="A2293" s="2" t="str">
        <f>"00064633"</f>
        <v>00064633</v>
      </c>
      <c r="B2293" s="2" t="str">
        <f t="shared" si="110"/>
        <v>SG</v>
      </c>
      <c r="C2293" s="4" t="s">
        <v>1563</v>
      </c>
      <c r="D2293" s="4" t="s">
        <v>0</v>
      </c>
      <c r="E2293" s="4" t="s">
        <v>12</v>
      </c>
      <c r="F2293" s="2" t="s">
        <v>0</v>
      </c>
      <c r="G2293" s="2" t="str">
        <f t="shared" si="113"/>
        <v>01</v>
      </c>
      <c r="H2293" s="3">
        <v>413</v>
      </c>
    </row>
    <row r="2294" spans="1:8" ht="114.75" x14ac:dyDescent="0.25">
      <c r="A2294" s="2" t="str">
        <f>"00064634"</f>
        <v>00064634</v>
      </c>
      <c r="B2294" s="2" t="str">
        <f t="shared" si="110"/>
        <v>SG</v>
      </c>
      <c r="C2294" s="4" t="s">
        <v>1564</v>
      </c>
      <c r="D2294" s="4" t="s">
        <v>0</v>
      </c>
      <c r="E2294" s="4" t="s">
        <v>12</v>
      </c>
      <c r="F2294" s="2" t="s">
        <v>0</v>
      </c>
      <c r="G2294" s="2" t="str">
        <f t="shared" si="113"/>
        <v>01</v>
      </c>
      <c r="H2294" s="3">
        <v>413</v>
      </c>
    </row>
    <row r="2295" spans="1:8" ht="114.75" x14ac:dyDescent="0.25">
      <c r="A2295" s="2" t="str">
        <f>"00064635"</f>
        <v>00064635</v>
      </c>
      <c r="B2295" s="2" t="str">
        <f t="shared" si="110"/>
        <v>SG</v>
      </c>
      <c r="C2295" s="4" t="s">
        <v>1565</v>
      </c>
      <c r="D2295" s="4" t="s">
        <v>0</v>
      </c>
      <c r="E2295" s="4" t="s">
        <v>12</v>
      </c>
      <c r="F2295" s="2" t="s">
        <v>0</v>
      </c>
      <c r="G2295" s="2" t="str">
        <f t="shared" si="113"/>
        <v>01</v>
      </c>
      <c r="H2295" s="3">
        <v>413</v>
      </c>
    </row>
    <row r="2296" spans="1:8" ht="114.75" x14ac:dyDescent="0.25">
      <c r="A2296" s="2" t="str">
        <f>"00064636"</f>
        <v>00064636</v>
      </c>
      <c r="B2296" s="2" t="str">
        <f t="shared" si="110"/>
        <v>SG</v>
      </c>
      <c r="C2296" s="4" t="s">
        <v>1566</v>
      </c>
      <c r="D2296" s="4" t="s">
        <v>0</v>
      </c>
      <c r="E2296" s="4" t="s">
        <v>12</v>
      </c>
      <c r="F2296" s="2" t="s">
        <v>0</v>
      </c>
      <c r="G2296" s="2" t="str">
        <f t="shared" si="113"/>
        <v>01</v>
      </c>
      <c r="H2296" s="3">
        <v>413</v>
      </c>
    </row>
    <row r="2297" spans="1:8" ht="29.25" x14ac:dyDescent="0.25">
      <c r="A2297" s="2" t="str">
        <f>"00064680"</f>
        <v>00064680</v>
      </c>
      <c r="B2297" s="2" t="str">
        <f t="shared" si="110"/>
        <v>SG</v>
      </c>
      <c r="C2297" s="4" t="s">
        <v>1561</v>
      </c>
      <c r="D2297" s="4" t="s">
        <v>0</v>
      </c>
      <c r="E2297" s="4" t="s">
        <v>12</v>
      </c>
      <c r="F2297" s="2" t="s">
        <v>0</v>
      </c>
      <c r="G2297" s="2" t="str">
        <f t="shared" si="113"/>
        <v>01</v>
      </c>
      <c r="H2297" s="3">
        <v>413</v>
      </c>
    </row>
    <row r="2298" spans="1:8" ht="29.25" x14ac:dyDescent="0.25">
      <c r="A2298" s="2" t="str">
        <f>"00064681"</f>
        <v>00064681</v>
      </c>
      <c r="B2298" s="2" t="str">
        <f t="shared" si="110"/>
        <v>SG</v>
      </c>
      <c r="C2298" s="4" t="s">
        <v>1561</v>
      </c>
      <c r="D2298" s="4" t="s">
        <v>0</v>
      </c>
      <c r="E2298" s="4" t="s">
        <v>12</v>
      </c>
      <c r="F2298" s="2" t="s">
        <v>0</v>
      </c>
      <c r="G2298" s="2" t="str">
        <f>"02"</f>
        <v>02</v>
      </c>
      <c r="H2298" s="3">
        <v>552</v>
      </c>
    </row>
    <row r="2299" spans="1:8" x14ac:dyDescent="0.25">
      <c r="A2299" s="2" t="str">
        <f>"00064702"</f>
        <v>00064702</v>
      </c>
      <c r="B2299" s="2" t="str">
        <f t="shared" si="110"/>
        <v>SG</v>
      </c>
      <c r="C2299" s="4" t="s">
        <v>1567</v>
      </c>
      <c r="D2299" s="4" t="s">
        <v>0</v>
      </c>
      <c r="E2299" s="4" t="s">
        <v>12</v>
      </c>
      <c r="F2299" s="2" t="s">
        <v>0</v>
      </c>
      <c r="G2299" s="2" t="str">
        <f>"01"</f>
        <v>01</v>
      </c>
      <c r="H2299" s="3">
        <v>413</v>
      </c>
    </row>
    <row r="2300" spans="1:8" x14ac:dyDescent="0.25">
      <c r="A2300" s="2" t="str">
        <f>"00064704"</f>
        <v>00064704</v>
      </c>
      <c r="B2300" s="2" t="str">
        <f t="shared" si="110"/>
        <v>SG</v>
      </c>
      <c r="C2300" s="4" t="s">
        <v>1568</v>
      </c>
      <c r="D2300" s="4" t="s">
        <v>0</v>
      </c>
      <c r="E2300" s="4" t="s">
        <v>12</v>
      </c>
      <c r="F2300" s="2" t="s">
        <v>0</v>
      </c>
      <c r="G2300" s="2" t="str">
        <f>"01"</f>
        <v>01</v>
      </c>
      <c r="H2300" s="3">
        <v>413</v>
      </c>
    </row>
    <row r="2301" spans="1:8" x14ac:dyDescent="0.25">
      <c r="A2301" s="2" t="str">
        <f>"00064708"</f>
        <v>00064708</v>
      </c>
      <c r="B2301" s="2" t="str">
        <f t="shared" si="110"/>
        <v>SG</v>
      </c>
      <c r="C2301" s="4" t="s">
        <v>1569</v>
      </c>
      <c r="D2301" s="4" t="s">
        <v>0</v>
      </c>
      <c r="E2301" s="4" t="s">
        <v>12</v>
      </c>
      <c r="F2301" s="2" t="s">
        <v>0</v>
      </c>
      <c r="G2301" s="2" t="str">
        <f>"07"</f>
        <v>07</v>
      </c>
      <c r="H2301" s="3">
        <v>1233</v>
      </c>
    </row>
    <row r="2302" spans="1:8" ht="29.25" x14ac:dyDescent="0.25">
      <c r="A2302" s="2" t="str">
        <f>"00064712"</f>
        <v>00064712</v>
      </c>
      <c r="B2302" s="2" t="str">
        <f t="shared" si="110"/>
        <v>SG</v>
      </c>
      <c r="C2302" s="4" t="s">
        <v>1570</v>
      </c>
      <c r="D2302" s="4" t="s">
        <v>0</v>
      </c>
      <c r="E2302" s="4" t="s">
        <v>12</v>
      </c>
      <c r="F2302" s="2" t="s">
        <v>0</v>
      </c>
      <c r="G2302" s="2" t="str">
        <f t="shared" ref="G2302:G2313" si="114">"01"</f>
        <v>01</v>
      </c>
      <c r="H2302" s="3">
        <v>413</v>
      </c>
    </row>
    <row r="2303" spans="1:8" x14ac:dyDescent="0.25">
      <c r="A2303" s="2" t="str">
        <f>"00064713"</f>
        <v>00064713</v>
      </c>
      <c r="B2303" s="2" t="str">
        <f t="shared" si="110"/>
        <v>SG</v>
      </c>
      <c r="C2303" s="4" t="s">
        <v>1571</v>
      </c>
      <c r="D2303" s="4" t="s">
        <v>0</v>
      </c>
      <c r="E2303" s="4" t="s">
        <v>12</v>
      </c>
      <c r="F2303" s="2" t="s">
        <v>0</v>
      </c>
      <c r="G2303" s="2" t="str">
        <f t="shared" si="114"/>
        <v>01</v>
      </c>
      <c r="H2303" s="3">
        <v>413</v>
      </c>
    </row>
    <row r="2304" spans="1:8" ht="29.25" x14ac:dyDescent="0.25">
      <c r="A2304" s="2" t="str">
        <f>"00064714"</f>
        <v>00064714</v>
      </c>
      <c r="B2304" s="2" t="str">
        <f t="shared" si="110"/>
        <v>SG</v>
      </c>
      <c r="C2304" s="4" t="s">
        <v>1572</v>
      </c>
      <c r="D2304" s="4" t="s">
        <v>0</v>
      </c>
      <c r="E2304" s="4" t="s">
        <v>12</v>
      </c>
      <c r="F2304" s="2" t="s">
        <v>0</v>
      </c>
      <c r="G2304" s="2" t="str">
        <f t="shared" si="114"/>
        <v>01</v>
      </c>
      <c r="H2304" s="3">
        <v>413</v>
      </c>
    </row>
    <row r="2305" spans="1:8" ht="29.25" x14ac:dyDescent="0.25">
      <c r="A2305" s="2" t="str">
        <f>"00064716"</f>
        <v>00064716</v>
      </c>
      <c r="B2305" s="2" t="str">
        <f t="shared" si="110"/>
        <v>SG</v>
      </c>
      <c r="C2305" s="4" t="s">
        <v>1573</v>
      </c>
      <c r="D2305" s="4" t="s">
        <v>0</v>
      </c>
      <c r="E2305" s="4" t="s">
        <v>12</v>
      </c>
      <c r="F2305" s="2" t="s">
        <v>0</v>
      </c>
      <c r="G2305" s="2" t="str">
        <f t="shared" si="114"/>
        <v>01</v>
      </c>
      <c r="H2305" s="3">
        <v>413</v>
      </c>
    </row>
    <row r="2306" spans="1:8" ht="29.25" x14ac:dyDescent="0.25">
      <c r="A2306" s="2" t="str">
        <f>"00064718"</f>
        <v>00064718</v>
      </c>
      <c r="B2306" s="2" t="str">
        <f t="shared" si="110"/>
        <v>SG</v>
      </c>
      <c r="C2306" s="4" t="s">
        <v>1574</v>
      </c>
      <c r="D2306" s="4" t="s">
        <v>0</v>
      </c>
      <c r="E2306" s="4" t="s">
        <v>12</v>
      </c>
      <c r="F2306" s="2" t="s">
        <v>0</v>
      </c>
      <c r="G2306" s="2" t="str">
        <f t="shared" si="114"/>
        <v>01</v>
      </c>
      <c r="H2306" s="3">
        <v>413</v>
      </c>
    </row>
    <row r="2307" spans="1:8" ht="29.25" x14ac:dyDescent="0.25">
      <c r="A2307" s="2" t="str">
        <f>"00064719"</f>
        <v>00064719</v>
      </c>
      <c r="B2307" s="2" t="str">
        <f t="shared" si="110"/>
        <v>SG</v>
      </c>
      <c r="C2307" s="4" t="s">
        <v>1575</v>
      </c>
      <c r="D2307" s="4" t="s">
        <v>0</v>
      </c>
      <c r="E2307" s="4" t="s">
        <v>12</v>
      </c>
      <c r="F2307" s="2" t="s">
        <v>0</v>
      </c>
      <c r="G2307" s="2" t="str">
        <f t="shared" si="114"/>
        <v>01</v>
      </c>
      <c r="H2307" s="3">
        <v>413</v>
      </c>
    </row>
    <row r="2308" spans="1:8" x14ac:dyDescent="0.25">
      <c r="A2308" s="2" t="str">
        <f>"00064721"</f>
        <v>00064721</v>
      </c>
      <c r="B2308" s="2" t="str">
        <f t="shared" si="110"/>
        <v>SG</v>
      </c>
      <c r="C2308" s="4" t="s">
        <v>1576</v>
      </c>
      <c r="D2308" s="4" t="s">
        <v>0</v>
      </c>
      <c r="E2308" s="4" t="s">
        <v>12</v>
      </c>
      <c r="F2308" s="2" t="s">
        <v>0</v>
      </c>
      <c r="G2308" s="2" t="str">
        <f t="shared" si="114"/>
        <v>01</v>
      </c>
      <c r="H2308" s="3">
        <v>413</v>
      </c>
    </row>
    <row r="2309" spans="1:8" ht="29.25" x14ac:dyDescent="0.25">
      <c r="A2309" s="2" t="str">
        <f>"00064722"</f>
        <v>00064722</v>
      </c>
      <c r="B2309" s="2" t="str">
        <f t="shared" si="110"/>
        <v>SG</v>
      </c>
      <c r="C2309" s="4" t="s">
        <v>1577</v>
      </c>
      <c r="D2309" s="4" t="s">
        <v>0</v>
      </c>
      <c r="E2309" s="4" t="s">
        <v>12</v>
      </c>
      <c r="F2309" s="2" t="s">
        <v>0</v>
      </c>
      <c r="G2309" s="2" t="str">
        <f t="shared" si="114"/>
        <v>01</v>
      </c>
      <c r="H2309" s="3">
        <v>413</v>
      </c>
    </row>
    <row r="2310" spans="1:8" x14ac:dyDescent="0.25">
      <c r="A2310" s="2" t="str">
        <f>"00064726"</f>
        <v>00064726</v>
      </c>
      <c r="B2310" s="2" t="str">
        <f t="shared" si="110"/>
        <v>SG</v>
      </c>
      <c r="C2310" s="4" t="s">
        <v>1578</v>
      </c>
      <c r="D2310" s="4" t="s">
        <v>0</v>
      </c>
      <c r="E2310" s="4" t="s">
        <v>12</v>
      </c>
      <c r="F2310" s="2" t="s">
        <v>0</v>
      </c>
      <c r="G2310" s="2" t="str">
        <f t="shared" si="114"/>
        <v>01</v>
      </c>
      <c r="H2310" s="3">
        <v>413</v>
      </c>
    </row>
    <row r="2311" spans="1:8" x14ac:dyDescent="0.25">
      <c r="A2311" s="2" t="str">
        <f>"00064727"</f>
        <v>00064727</v>
      </c>
      <c r="B2311" s="2" t="str">
        <f t="shared" si="110"/>
        <v>SG</v>
      </c>
      <c r="C2311" s="4" t="s">
        <v>1579</v>
      </c>
      <c r="D2311" s="4" t="s">
        <v>0</v>
      </c>
      <c r="E2311" s="4" t="s">
        <v>12</v>
      </c>
      <c r="F2311" s="2" t="s">
        <v>0</v>
      </c>
      <c r="G2311" s="2" t="str">
        <f t="shared" si="114"/>
        <v>01</v>
      </c>
      <c r="H2311" s="3">
        <v>413</v>
      </c>
    </row>
    <row r="2312" spans="1:8" x14ac:dyDescent="0.25">
      <c r="A2312" s="2" t="str">
        <f>"00064732"</f>
        <v>00064732</v>
      </c>
      <c r="B2312" s="2" t="str">
        <f t="shared" si="110"/>
        <v>SG</v>
      </c>
      <c r="C2312" s="4" t="s">
        <v>1580</v>
      </c>
      <c r="D2312" s="4" t="s">
        <v>0</v>
      </c>
      <c r="E2312" s="4" t="s">
        <v>12</v>
      </c>
      <c r="F2312" s="2" t="s">
        <v>0</v>
      </c>
      <c r="G2312" s="2" t="str">
        <f t="shared" si="114"/>
        <v>01</v>
      </c>
      <c r="H2312" s="3">
        <v>413</v>
      </c>
    </row>
    <row r="2313" spans="1:8" x14ac:dyDescent="0.25">
      <c r="A2313" s="2" t="str">
        <f>"00064734"</f>
        <v>00064734</v>
      </c>
      <c r="B2313" s="2" t="str">
        <f t="shared" si="110"/>
        <v>SG</v>
      </c>
      <c r="C2313" s="4" t="s">
        <v>1581</v>
      </c>
      <c r="D2313" s="4" t="s">
        <v>0</v>
      </c>
      <c r="E2313" s="4" t="s">
        <v>12</v>
      </c>
      <c r="F2313" s="2" t="s">
        <v>0</v>
      </c>
      <c r="G2313" s="2" t="str">
        <f t="shared" si="114"/>
        <v>01</v>
      </c>
      <c r="H2313" s="3">
        <v>413</v>
      </c>
    </row>
    <row r="2314" spans="1:8" x14ac:dyDescent="0.25">
      <c r="A2314" s="2" t="str">
        <f>"00064736"</f>
        <v>00064736</v>
      </c>
      <c r="B2314" s="2" t="str">
        <f t="shared" si="110"/>
        <v>SG</v>
      </c>
      <c r="C2314" s="4" t="s">
        <v>1582</v>
      </c>
      <c r="D2314" s="4" t="s">
        <v>0</v>
      </c>
      <c r="E2314" s="4" t="s">
        <v>12</v>
      </c>
      <c r="F2314" s="2" t="s">
        <v>0</v>
      </c>
      <c r="G2314" s="2" t="str">
        <f>"02"</f>
        <v>02</v>
      </c>
      <c r="H2314" s="3">
        <v>552</v>
      </c>
    </row>
    <row r="2315" spans="1:8" x14ac:dyDescent="0.25">
      <c r="A2315" s="2" t="str">
        <f>"00064738"</f>
        <v>00064738</v>
      </c>
      <c r="B2315" s="2" t="str">
        <f t="shared" si="110"/>
        <v>SG</v>
      </c>
      <c r="C2315" s="4" t="s">
        <v>1583</v>
      </c>
      <c r="D2315" s="4" t="s">
        <v>0</v>
      </c>
      <c r="E2315" s="4" t="s">
        <v>12</v>
      </c>
      <c r="F2315" s="2" t="s">
        <v>0</v>
      </c>
      <c r="G2315" s="2" t="str">
        <f t="shared" ref="G2315:G2327" si="115">"01"</f>
        <v>01</v>
      </c>
      <c r="H2315" s="3">
        <v>413</v>
      </c>
    </row>
    <row r="2316" spans="1:8" ht="29.25" x14ac:dyDescent="0.25">
      <c r="A2316" s="2" t="str">
        <f>"00064740"</f>
        <v>00064740</v>
      </c>
      <c r="B2316" s="2" t="str">
        <f t="shared" si="110"/>
        <v>SG</v>
      </c>
      <c r="C2316" s="4" t="s">
        <v>1584</v>
      </c>
      <c r="D2316" s="4" t="s">
        <v>0</v>
      </c>
      <c r="E2316" s="4" t="s">
        <v>12</v>
      </c>
      <c r="F2316" s="2" t="s">
        <v>0</v>
      </c>
      <c r="G2316" s="2" t="str">
        <f t="shared" si="115"/>
        <v>01</v>
      </c>
      <c r="H2316" s="3">
        <v>413</v>
      </c>
    </row>
    <row r="2317" spans="1:8" x14ac:dyDescent="0.25">
      <c r="A2317" s="2" t="str">
        <f>"00064742"</f>
        <v>00064742</v>
      </c>
      <c r="B2317" s="2" t="str">
        <f t="shared" ref="B2317:B2380" si="116">"SG"</f>
        <v>SG</v>
      </c>
      <c r="C2317" s="4" t="s">
        <v>1585</v>
      </c>
      <c r="D2317" s="4" t="s">
        <v>0</v>
      </c>
      <c r="E2317" s="4" t="s">
        <v>12</v>
      </c>
      <c r="F2317" s="2" t="s">
        <v>0</v>
      </c>
      <c r="G2317" s="2" t="str">
        <f t="shared" si="115"/>
        <v>01</v>
      </c>
      <c r="H2317" s="3">
        <v>413</v>
      </c>
    </row>
    <row r="2318" spans="1:8" ht="29.25" x14ac:dyDescent="0.25">
      <c r="A2318" s="2" t="str">
        <f>"00064744"</f>
        <v>00064744</v>
      </c>
      <c r="B2318" s="2" t="str">
        <f t="shared" si="116"/>
        <v>SG</v>
      </c>
      <c r="C2318" s="4" t="s">
        <v>1586</v>
      </c>
      <c r="D2318" s="4" t="s">
        <v>0</v>
      </c>
      <c r="E2318" s="4" t="s">
        <v>12</v>
      </c>
      <c r="F2318" s="2" t="s">
        <v>0</v>
      </c>
      <c r="G2318" s="2" t="str">
        <f t="shared" si="115"/>
        <v>01</v>
      </c>
      <c r="H2318" s="3">
        <v>413</v>
      </c>
    </row>
    <row r="2319" spans="1:8" x14ac:dyDescent="0.25">
      <c r="A2319" s="2" t="str">
        <f>"00064746"</f>
        <v>00064746</v>
      </c>
      <c r="B2319" s="2" t="str">
        <f t="shared" si="116"/>
        <v>SG</v>
      </c>
      <c r="C2319" s="4" t="s">
        <v>1587</v>
      </c>
      <c r="D2319" s="4" t="s">
        <v>0</v>
      </c>
      <c r="E2319" s="4" t="s">
        <v>12</v>
      </c>
      <c r="F2319" s="2" t="s">
        <v>0</v>
      </c>
      <c r="G2319" s="2" t="str">
        <f t="shared" si="115"/>
        <v>01</v>
      </c>
      <c r="H2319" s="3">
        <v>413</v>
      </c>
    </row>
    <row r="2320" spans="1:8" x14ac:dyDescent="0.25">
      <c r="A2320" s="2" t="str">
        <f>"00064771"</f>
        <v>00064771</v>
      </c>
      <c r="B2320" s="2" t="str">
        <f t="shared" si="116"/>
        <v>SG</v>
      </c>
      <c r="C2320" s="4" t="s">
        <v>1588</v>
      </c>
      <c r="D2320" s="4" t="s">
        <v>0</v>
      </c>
      <c r="E2320" s="4" t="s">
        <v>12</v>
      </c>
      <c r="F2320" s="2" t="s">
        <v>0</v>
      </c>
      <c r="G2320" s="2" t="str">
        <f t="shared" si="115"/>
        <v>01</v>
      </c>
      <c r="H2320" s="3">
        <v>413</v>
      </c>
    </row>
    <row r="2321" spans="1:8" x14ac:dyDescent="0.25">
      <c r="A2321" s="2" t="str">
        <f>"00064772"</f>
        <v>00064772</v>
      </c>
      <c r="B2321" s="2" t="str">
        <f t="shared" si="116"/>
        <v>SG</v>
      </c>
      <c r="C2321" s="4" t="s">
        <v>1589</v>
      </c>
      <c r="D2321" s="4" t="s">
        <v>0</v>
      </c>
      <c r="E2321" s="4" t="s">
        <v>12</v>
      </c>
      <c r="F2321" s="2" t="s">
        <v>0</v>
      </c>
      <c r="G2321" s="2" t="str">
        <f t="shared" si="115"/>
        <v>01</v>
      </c>
      <c r="H2321" s="3">
        <v>413</v>
      </c>
    </row>
    <row r="2322" spans="1:8" ht="29.25" x14ac:dyDescent="0.25">
      <c r="A2322" s="2" t="str">
        <f>"00064774"</f>
        <v>00064774</v>
      </c>
      <c r="B2322" s="2" t="str">
        <f t="shared" si="116"/>
        <v>SG</v>
      </c>
      <c r="C2322" s="4" t="s">
        <v>1590</v>
      </c>
      <c r="D2322" s="4" t="s">
        <v>0</v>
      </c>
      <c r="E2322" s="4" t="s">
        <v>12</v>
      </c>
      <c r="F2322" s="2" t="s">
        <v>0</v>
      </c>
      <c r="G2322" s="2" t="str">
        <f t="shared" si="115"/>
        <v>01</v>
      </c>
      <c r="H2322" s="3">
        <v>413</v>
      </c>
    </row>
    <row r="2323" spans="1:8" ht="29.25" x14ac:dyDescent="0.25">
      <c r="A2323" s="2" t="str">
        <f>"00064776"</f>
        <v>00064776</v>
      </c>
      <c r="B2323" s="2" t="str">
        <f t="shared" si="116"/>
        <v>SG</v>
      </c>
      <c r="C2323" s="4" t="s">
        <v>1591</v>
      </c>
      <c r="D2323" s="4" t="s">
        <v>0</v>
      </c>
      <c r="E2323" s="4" t="s">
        <v>12</v>
      </c>
      <c r="F2323" s="2" t="s">
        <v>0</v>
      </c>
      <c r="G2323" s="2" t="str">
        <f t="shared" si="115"/>
        <v>01</v>
      </c>
      <c r="H2323" s="3">
        <v>413</v>
      </c>
    </row>
    <row r="2324" spans="1:8" ht="29.25" x14ac:dyDescent="0.25">
      <c r="A2324" s="2" t="str">
        <f>"00064778"</f>
        <v>00064778</v>
      </c>
      <c r="B2324" s="2" t="str">
        <f t="shared" si="116"/>
        <v>SG</v>
      </c>
      <c r="C2324" s="4" t="s">
        <v>1592</v>
      </c>
      <c r="D2324" s="4" t="s">
        <v>0</v>
      </c>
      <c r="E2324" s="4" t="s">
        <v>12</v>
      </c>
      <c r="F2324" s="2" t="s">
        <v>0</v>
      </c>
      <c r="G2324" s="2" t="str">
        <f t="shared" si="115"/>
        <v>01</v>
      </c>
      <c r="H2324" s="3">
        <v>413</v>
      </c>
    </row>
    <row r="2325" spans="1:8" ht="29.25" x14ac:dyDescent="0.25">
      <c r="A2325" s="2" t="str">
        <f>"00064782"</f>
        <v>00064782</v>
      </c>
      <c r="B2325" s="2" t="str">
        <f t="shared" si="116"/>
        <v>SG</v>
      </c>
      <c r="C2325" s="4" t="s">
        <v>1593</v>
      </c>
      <c r="D2325" s="4" t="s">
        <v>0</v>
      </c>
      <c r="E2325" s="4" t="s">
        <v>12</v>
      </c>
      <c r="F2325" s="2" t="s">
        <v>0</v>
      </c>
      <c r="G2325" s="2" t="str">
        <f t="shared" si="115"/>
        <v>01</v>
      </c>
      <c r="H2325" s="3">
        <v>413</v>
      </c>
    </row>
    <row r="2326" spans="1:8" ht="29.25" x14ac:dyDescent="0.25">
      <c r="A2326" s="2" t="str">
        <f>"00064783"</f>
        <v>00064783</v>
      </c>
      <c r="B2326" s="2" t="str">
        <f t="shared" si="116"/>
        <v>SG</v>
      </c>
      <c r="C2326" s="4" t="s">
        <v>1594</v>
      </c>
      <c r="D2326" s="4" t="s">
        <v>0</v>
      </c>
      <c r="E2326" s="4" t="s">
        <v>12</v>
      </c>
      <c r="F2326" s="2" t="s">
        <v>0</v>
      </c>
      <c r="G2326" s="2" t="str">
        <f t="shared" si="115"/>
        <v>01</v>
      </c>
      <c r="H2326" s="3">
        <v>413</v>
      </c>
    </row>
    <row r="2327" spans="1:8" x14ac:dyDescent="0.25">
      <c r="A2327" s="2" t="str">
        <f>"00064784"</f>
        <v>00064784</v>
      </c>
      <c r="B2327" s="2" t="str">
        <f t="shared" si="116"/>
        <v>SG</v>
      </c>
      <c r="C2327" s="4" t="s">
        <v>1595</v>
      </c>
      <c r="D2327" s="4" t="s">
        <v>0</v>
      </c>
      <c r="E2327" s="4" t="s">
        <v>12</v>
      </c>
      <c r="F2327" s="2" t="s">
        <v>0</v>
      </c>
      <c r="G2327" s="2" t="str">
        <f t="shared" si="115"/>
        <v>01</v>
      </c>
      <c r="H2327" s="3">
        <v>413</v>
      </c>
    </row>
    <row r="2328" spans="1:8" ht="29.25" x14ac:dyDescent="0.25">
      <c r="A2328" s="2" t="str">
        <f>"00064786"</f>
        <v>00064786</v>
      </c>
      <c r="B2328" s="2" t="str">
        <f t="shared" si="116"/>
        <v>SG</v>
      </c>
      <c r="C2328" s="4" t="s">
        <v>1596</v>
      </c>
      <c r="D2328" s="4" t="s">
        <v>0</v>
      </c>
      <c r="E2328" s="4" t="s">
        <v>12</v>
      </c>
      <c r="F2328" s="2" t="s">
        <v>0</v>
      </c>
      <c r="G2328" s="2" t="str">
        <f>"03"</f>
        <v>03</v>
      </c>
      <c r="H2328" s="3">
        <v>637</v>
      </c>
    </row>
    <row r="2329" spans="1:8" x14ac:dyDescent="0.25">
      <c r="A2329" s="2" t="str">
        <f>"00064787"</f>
        <v>00064787</v>
      </c>
      <c r="B2329" s="2" t="str">
        <f t="shared" si="116"/>
        <v>SG</v>
      </c>
      <c r="C2329" s="4" t="s">
        <v>1597</v>
      </c>
      <c r="D2329" s="4" t="s">
        <v>0</v>
      </c>
      <c r="E2329" s="4" t="s">
        <v>12</v>
      </c>
      <c r="F2329" s="2" t="s">
        <v>0</v>
      </c>
      <c r="G2329" s="2" t="str">
        <f>"02"</f>
        <v>02</v>
      </c>
      <c r="H2329" s="3">
        <v>552</v>
      </c>
    </row>
    <row r="2330" spans="1:8" ht="29.25" x14ac:dyDescent="0.25">
      <c r="A2330" s="2" t="str">
        <f>"00064788"</f>
        <v>00064788</v>
      </c>
      <c r="B2330" s="2" t="str">
        <f t="shared" si="116"/>
        <v>SG</v>
      </c>
      <c r="C2330" s="4" t="s">
        <v>1590</v>
      </c>
      <c r="D2330" s="4" t="s">
        <v>0</v>
      </c>
      <c r="E2330" s="4" t="s">
        <v>12</v>
      </c>
      <c r="F2330" s="2" t="s">
        <v>0</v>
      </c>
      <c r="G2330" s="2" t="str">
        <f>"01"</f>
        <v>01</v>
      </c>
      <c r="H2330" s="3">
        <v>413</v>
      </c>
    </row>
    <row r="2331" spans="1:8" ht="29.25" x14ac:dyDescent="0.25">
      <c r="A2331" s="2" t="str">
        <f>"00064790"</f>
        <v>00064790</v>
      </c>
      <c r="B2331" s="2" t="str">
        <f t="shared" si="116"/>
        <v>SG</v>
      </c>
      <c r="C2331" s="4" t="s">
        <v>1598</v>
      </c>
      <c r="D2331" s="4" t="s">
        <v>0</v>
      </c>
      <c r="E2331" s="4" t="s">
        <v>12</v>
      </c>
      <c r="F2331" s="2" t="s">
        <v>0</v>
      </c>
      <c r="G2331" s="2" t="str">
        <f>"01"</f>
        <v>01</v>
      </c>
      <c r="H2331" s="3">
        <v>413</v>
      </c>
    </row>
    <row r="2332" spans="1:8" ht="29.25" x14ac:dyDescent="0.25">
      <c r="A2332" s="2" t="str">
        <f>"00064792"</f>
        <v>00064792</v>
      </c>
      <c r="B2332" s="2" t="str">
        <f t="shared" si="116"/>
        <v>SG</v>
      </c>
      <c r="C2332" s="4" t="s">
        <v>1598</v>
      </c>
      <c r="D2332" s="4" t="s">
        <v>0</v>
      </c>
      <c r="E2332" s="4" t="s">
        <v>12</v>
      </c>
      <c r="F2332" s="2" t="s">
        <v>0</v>
      </c>
      <c r="G2332" s="2" t="str">
        <f>"03"</f>
        <v>03</v>
      </c>
      <c r="H2332" s="3">
        <v>637</v>
      </c>
    </row>
    <row r="2333" spans="1:8" x14ac:dyDescent="0.25">
      <c r="A2333" s="2" t="str">
        <f>"00064795"</f>
        <v>00064795</v>
      </c>
      <c r="B2333" s="2" t="str">
        <f t="shared" si="116"/>
        <v>SG</v>
      </c>
      <c r="C2333" s="4" t="s">
        <v>1599</v>
      </c>
      <c r="D2333" s="4" t="s">
        <v>0</v>
      </c>
      <c r="E2333" s="4" t="s">
        <v>12</v>
      </c>
      <c r="F2333" s="2" t="s">
        <v>0</v>
      </c>
      <c r="G2333" s="2" t="str">
        <f>"01"</f>
        <v>01</v>
      </c>
      <c r="H2333" s="3">
        <v>413</v>
      </c>
    </row>
    <row r="2334" spans="1:8" ht="29.25" x14ac:dyDescent="0.25">
      <c r="A2334" s="2" t="str">
        <f>"00064802"</f>
        <v>00064802</v>
      </c>
      <c r="B2334" s="2" t="str">
        <f t="shared" si="116"/>
        <v>SG</v>
      </c>
      <c r="C2334" s="4" t="s">
        <v>1600</v>
      </c>
      <c r="D2334" s="4" t="s">
        <v>0</v>
      </c>
      <c r="E2334" s="4" t="s">
        <v>12</v>
      </c>
      <c r="F2334" s="2" t="s">
        <v>0</v>
      </c>
      <c r="G2334" s="2" t="str">
        <f>"01"</f>
        <v>01</v>
      </c>
      <c r="H2334" s="3">
        <v>413</v>
      </c>
    </row>
    <row r="2335" spans="1:8" ht="29.25" x14ac:dyDescent="0.25">
      <c r="A2335" s="2" t="str">
        <f>"00064821"</f>
        <v>00064821</v>
      </c>
      <c r="B2335" s="2" t="str">
        <f t="shared" si="116"/>
        <v>SG</v>
      </c>
      <c r="C2335" s="4" t="s">
        <v>1600</v>
      </c>
      <c r="D2335" s="4" t="s">
        <v>0</v>
      </c>
      <c r="E2335" s="4" t="s">
        <v>12</v>
      </c>
      <c r="F2335" s="2" t="s">
        <v>0</v>
      </c>
      <c r="G2335" s="2" t="str">
        <f>"04"</f>
        <v>04</v>
      </c>
      <c r="H2335" s="3">
        <v>785</v>
      </c>
    </row>
    <row r="2336" spans="1:8" x14ac:dyDescent="0.25">
      <c r="A2336" s="2" t="str">
        <f>"00064831"</f>
        <v>00064831</v>
      </c>
      <c r="B2336" s="2" t="str">
        <f t="shared" si="116"/>
        <v>SG</v>
      </c>
      <c r="C2336" s="4" t="s">
        <v>1601</v>
      </c>
      <c r="D2336" s="4" t="s">
        <v>0</v>
      </c>
      <c r="E2336" s="4" t="s">
        <v>12</v>
      </c>
      <c r="F2336" s="2" t="s">
        <v>0</v>
      </c>
      <c r="G2336" s="2" t="str">
        <f>"03"</f>
        <v>03</v>
      </c>
      <c r="H2336" s="3">
        <v>637</v>
      </c>
    </row>
    <row r="2337" spans="1:8" x14ac:dyDescent="0.25">
      <c r="A2337" s="2" t="str">
        <f>"00064832"</f>
        <v>00064832</v>
      </c>
      <c r="B2337" s="2" t="str">
        <f t="shared" si="116"/>
        <v>SG</v>
      </c>
      <c r="C2337" s="4" t="s">
        <v>1602</v>
      </c>
      <c r="D2337" s="4" t="s">
        <v>0</v>
      </c>
      <c r="E2337" s="4" t="s">
        <v>12</v>
      </c>
      <c r="F2337" s="2" t="s">
        <v>0</v>
      </c>
      <c r="G2337" s="2" t="str">
        <f>"01"</f>
        <v>01</v>
      </c>
      <c r="H2337" s="3">
        <v>413</v>
      </c>
    </row>
    <row r="2338" spans="1:8" ht="29.25" x14ac:dyDescent="0.25">
      <c r="A2338" s="2" t="str">
        <f>"00064834"</f>
        <v>00064834</v>
      </c>
      <c r="B2338" s="2" t="str">
        <f t="shared" si="116"/>
        <v>SG</v>
      </c>
      <c r="C2338" s="4" t="s">
        <v>1603</v>
      </c>
      <c r="D2338" s="4" t="s">
        <v>0</v>
      </c>
      <c r="E2338" s="4" t="s">
        <v>12</v>
      </c>
      <c r="F2338" s="2" t="s">
        <v>0</v>
      </c>
      <c r="G2338" s="2" t="str">
        <f>"06"</f>
        <v>06</v>
      </c>
      <c r="H2338" s="3">
        <v>1000</v>
      </c>
    </row>
    <row r="2339" spans="1:8" ht="29.25" x14ac:dyDescent="0.25">
      <c r="A2339" s="2" t="str">
        <f>"00064835"</f>
        <v>00064835</v>
      </c>
      <c r="B2339" s="2" t="str">
        <f t="shared" si="116"/>
        <v>SG</v>
      </c>
      <c r="C2339" s="4" t="s">
        <v>1603</v>
      </c>
      <c r="D2339" s="4" t="s">
        <v>0</v>
      </c>
      <c r="E2339" s="4" t="s">
        <v>12</v>
      </c>
      <c r="F2339" s="2" t="s">
        <v>0</v>
      </c>
      <c r="G2339" s="2" t="str">
        <f>"06"</f>
        <v>06</v>
      </c>
      <c r="H2339" s="3">
        <v>1000</v>
      </c>
    </row>
    <row r="2340" spans="1:8" ht="29.25" x14ac:dyDescent="0.25">
      <c r="A2340" s="2" t="str">
        <f>"00064836"</f>
        <v>00064836</v>
      </c>
      <c r="B2340" s="2" t="str">
        <f t="shared" si="116"/>
        <v>SG</v>
      </c>
      <c r="C2340" s="4" t="s">
        <v>1603</v>
      </c>
      <c r="D2340" s="4" t="s">
        <v>0</v>
      </c>
      <c r="E2340" s="4" t="s">
        <v>12</v>
      </c>
      <c r="F2340" s="2" t="s">
        <v>0</v>
      </c>
      <c r="G2340" s="2" t="str">
        <f>"06"</f>
        <v>06</v>
      </c>
      <c r="H2340" s="3">
        <v>1000</v>
      </c>
    </row>
    <row r="2341" spans="1:8" x14ac:dyDescent="0.25">
      <c r="A2341" s="2" t="str">
        <f>"00064837"</f>
        <v>00064837</v>
      </c>
      <c r="B2341" s="2" t="str">
        <f t="shared" si="116"/>
        <v>SG</v>
      </c>
      <c r="C2341" s="4" t="s">
        <v>1602</v>
      </c>
      <c r="D2341" s="4" t="s">
        <v>0</v>
      </c>
      <c r="E2341" s="4" t="s">
        <v>12</v>
      </c>
      <c r="F2341" s="2" t="s">
        <v>0</v>
      </c>
      <c r="G2341" s="2" t="str">
        <f>"01"</f>
        <v>01</v>
      </c>
      <c r="H2341" s="3">
        <v>413</v>
      </c>
    </row>
    <row r="2342" spans="1:8" x14ac:dyDescent="0.25">
      <c r="A2342" s="2" t="str">
        <f>"00064840"</f>
        <v>00064840</v>
      </c>
      <c r="B2342" s="2" t="str">
        <f t="shared" si="116"/>
        <v>SG</v>
      </c>
      <c r="C2342" s="4" t="s">
        <v>1604</v>
      </c>
      <c r="D2342" s="4" t="s">
        <v>0</v>
      </c>
      <c r="E2342" s="4" t="s">
        <v>12</v>
      </c>
      <c r="F2342" s="2" t="s">
        <v>0</v>
      </c>
      <c r="G2342" s="2" t="str">
        <f>"06"</f>
        <v>06</v>
      </c>
      <c r="H2342" s="3">
        <v>1000</v>
      </c>
    </row>
    <row r="2343" spans="1:8" x14ac:dyDescent="0.25">
      <c r="A2343" s="2" t="str">
        <f>"00064856"</f>
        <v>00064856</v>
      </c>
      <c r="B2343" s="2" t="str">
        <f t="shared" si="116"/>
        <v>SG</v>
      </c>
      <c r="C2343" s="4" t="s">
        <v>1605</v>
      </c>
      <c r="D2343" s="4" t="s">
        <v>0</v>
      </c>
      <c r="E2343" s="4" t="s">
        <v>12</v>
      </c>
      <c r="F2343" s="2" t="s">
        <v>0</v>
      </c>
      <c r="G2343" s="2" t="str">
        <f>"06"</f>
        <v>06</v>
      </c>
      <c r="H2343" s="3">
        <v>1000</v>
      </c>
    </row>
    <row r="2344" spans="1:8" x14ac:dyDescent="0.25">
      <c r="A2344" s="2" t="str">
        <f>"00064857"</f>
        <v>00064857</v>
      </c>
      <c r="B2344" s="2" t="str">
        <f t="shared" si="116"/>
        <v>SG</v>
      </c>
      <c r="C2344" s="4" t="s">
        <v>1606</v>
      </c>
      <c r="D2344" s="4" t="s">
        <v>0</v>
      </c>
      <c r="E2344" s="4" t="s">
        <v>12</v>
      </c>
      <c r="F2344" s="2" t="s">
        <v>0</v>
      </c>
      <c r="G2344" s="2" t="str">
        <f>"06"</f>
        <v>06</v>
      </c>
      <c r="H2344" s="3">
        <v>1000</v>
      </c>
    </row>
    <row r="2345" spans="1:8" x14ac:dyDescent="0.25">
      <c r="A2345" s="2" t="str">
        <f>"00064858"</f>
        <v>00064858</v>
      </c>
      <c r="B2345" s="2" t="str">
        <f t="shared" si="116"/>
        <v>SG</v>
      </c>
      <c r="C2345" s="4" t="s">
        <v>1607</v>
      </c>
      <c r="D2345" s="4" t="s">
        <v>0</v>
      </c>
      <c r="E2345" s="4" t="s">
        <v>12</v>
      </c>
      <c r="F2345" s="2" t="s">
        <v>0</v>
      </c>
      <c r="G2345" s="2" t="str">
        <f>"06"</f>
        <v>06</v>
      </c>
      <c r="H2345" s="3">
        <v>1000</v>
      </c>
    </row>
    <row r="2346" spans="1:8" x14ac:dyDescent="0.25">
      <c r="A2346" s="2" t="str">
        <f>"00064859"</f>
        <v>00064859</v>
      </c>
      <c r="B2346" s="2" t="str">
        <f t="shared" si="116"/>
        <v>SG</v>
      </c>
      <c r="C2346" s="4" t="s">
        <v>1608</v>
      </c>
      <c r="D2346" s="4" t="s">
        <v>0</v>
      </c>
      <c r="E2346" s="4" t="s">
        <v>12</v>
      </c>
      <c r="F2346" s="2" t="s">
        <v>0</v>
      </c>
      <c r="G2346" s="2" t="str">
        <f>"01"</f>
        <v>01</v>
      </c>
      <c r="H2346" s="3">
        <v>413</v>
      </c>
    </row>
    <row r="2347" spans="1:8" x14ac:dyDescent="0.25">
      <c r="A2347" s="2" t="str">
        <f>"00064861"</f>
        <v>00064861</v>
      </c>
      <c r="B2347" s="2" t="str">
        <f t="shared" si="116"/>
        <v>SG</v>
      </c>
      <c r="C2347" s="4" t="s">
        <v>1609</v>
      </c>
      <c r="D2347" s="4" t="s">
        <v>0</v>
      </c>
      <c r="E2347" s="4" t="s">
        <v>12</v>
      </c>
      <c r="F2347" s="2" t="s">
        <v>0</v>
      </c>
      <c r="G2347" s="2" t="str">
        <f>"06"</f>
        <v>06</v>
      </c>
      <c r="H2347" s="3">
        <v>1000</v>
      </c>
    </row>
    <row r="2348" spans="1:8" ht="29.25" x14ac:dyDescent="0.25">
      <c r="A2348" s="2" t="str">
        <f>"00064862"</f>
        <v>00064862</v>
      </c>
      <c r="B2348" s="2" t="str">
        <f t="shared" si="116"/>
        <v>SG</v>
      </c>
      <c r="C2348" s="4" t="s">
        <v>1610</v>
      </c>
      <c r="D2348" s="4" t="s">
        <v>0</v>
      </c>
      <c r="E2348" s="4" t="s">
        <v>12</v>
      </c>
      <c r="F2348" s="2" t="s">
        <v>0</v>
      </c>
      <c r="G2348" s="2" t="str">
        <f>"06"</f>
        <v>06</v>
      </c>
      <c r="H2348" s="3">
        <v>1000</v>
      </c>
    </row>
    <row r="2349" spans="1:8" x14ac:dyDescent="0.25">
      <c r="A2349" s="2" t="str">
        <f>"00064864"</f>
        <v>00064864</v>
      </c>
      <c r="B2349" s="2" t="str">
        <f t="shared" si="116"/>
        <v>SG</v>
      </c>
      <c r="C2349" s="4" t="s">
        <v>1611</v>
      </c>
      <c r="D2349" s="4" t="s">
        <v>0</v>
      </c>
      <c r="E2349" s="4" t="s">
        <v>12</v>
      </c>
      <c r="F2349" s="2" t="s">
        <v>0</v>
      </c>
      <c r="G2349" s="2" t="str">
        <f>"06"</f>
        <v>06</v>
      </c>
      <c r="H2349" s="3">
        <v>1000</v>
      </c>
    </row>
    <row r="2350" spans="1:8" x14ac:dyDescent="0.25">
      <c r="A2350" s="2" t="str">
        <f>"00064865"</f>
        <v>00064865</v>
      </c>
      <c r="B2350" s="2" t="str">
        <f t="shared" si="116"/>
        <v>SG</v>
      </c>
      <c r="C2350" s="4" t="s">
        <v>1611</v>
      </c>
      <c r="D2350" s="4" t="s">
        <v>0</v>
      </c>
      <c r="E2350" s="4" t="s">
        <v>12</v>
      </c>
      <c r="F2350" s="2" t="s">
        <v>0</v>
      </c>
      <c r="G2350" s="2" t="str">
        <f>"06"</f>
        <v>06</v>
      </c>
      <c r="H2350" s="3">
        <v>1000</v>
      </c>
    </row>
    <row r="2351" spans="1:8" ht="29.25" x14ac:dyDescent="0.25">
      <c r="A2351" s="2" t="str">
        <f>"00064872"</f>
        <v>00064872</v>
      </c>
      <c r="B2351" s="2" t="str">
        <f t="shared" si="116"/>
        <v>SG</v>
      </c>
      <c r="C2351" s="4" t="s">
        <v>1612</v>
      </c>
      <c r="D2351" s="4" t="s">
        <v>0</v>
      </c>
      <c r="E2351" s="4" t="s">
        <v>12</v>
      </c>
      <c r="F2351" s="2" t="s">
        <v>0</v>
      </c>
      <c r="G2351" s="2" t="str">
        <f>"02"</f>
        <v>02</v>
      </c>
      <c r="H2351" s="3">
        <v>552</v>
      </c>
    </row>
    <row r="2352" spans="1:8" ht="29.25" x14ac:dyDescent="0.25">
      <c r="A2352" s="2" t="str">
        <f>"00064874"</f>
        <v>00064874</v>
      </c>
      <c r="B2352" s="2" t="str">
        <f t="shared" si="116"/>
        <v>SG</v>
      </c>
      <c r="C2352" s="4" t="s">
        <v>1613</v>
      </c>
      <c r="D2352" s="4" t="s">
        <v>0</v>
      </c>
      <c r="E2352" s="4" t="s">
        <v>12</v>
      </c>
      <c r="F2352" s="2" t="s">
        <v>0</v>
      </c>
      <c r="G2352" s="2" t="str">
        <f>"03"</f>
        <v>03</v>
      </c>
      <c r="H2352" s="3">
        <v>637</v>
      </c>
    </row>
    <row r="2353" spans="1:8" ht="29.25" x14ac:dyDescent="0.25">
      <c r="A2353" s="2" t="str">
        <f>"00064876"</f>
        <v>00064876</v>
      </c>
      <c r="B2353" s="2" t="str">
        <f t="shared" si="116"/>
        <v>SG</v>
      </c>
      <c r="C2353" s="4" t="s">
        <v>1614</v>
      </c>
      <c r="D2353" s="4" t="s">
        <v>0</v>
      </c>
      <c r="E2353" s="4" t="s">
        <v>12</v>
      </c>
      <c r="F2353" s="2" t="s">
        <v>0</v>
      </c>
      <c r="G2353" s="2" t="str">
        <f>"03"</f>
        <v>03</v>
      </c>
      <c r="H2353" s="3">
        <v>637</v>
      </c>
    </row>
    <row r="2354" spans="1:8" ht="29.25" x14ac:dyDescent="0.25">
      <c r="A2354" s="2" t="str">
        <f>"00064885"</f>
        <v>00064885</v>
      </c>
      <c r="B2354" s="2" t="str">
        <f t="shared" si="116"/>
        <v>SG</v>
      </c>
      <c r="C2354" s="4" t="s">
        <v>1615</v>
      </c>
      <c r="D2354" s="4" t="s">
        <v>0</v>
      </c>
      <c r="E2354" s="4" t="s">
        <v>12</v>
      </c>
      <c r="F2354" s="2" t="s">
        <v>0</v>
      </c>
      <c r="G2354" s="2" t="str">
        <f t="shared" ref="G2354:G2362" si="117">"06"</f>
        <v>06</v>
      </c>
      <c r="H2354" s="3">
        <v>1000</v>
      </c>
    </row>
    <row r="2355" spans="1:8" ht="29.25" x14ac:dyDescent="0.25">
      <c r="A2355" s="2" t="str">
        <f>"00064886"</f>
        <v>00064886</v>
      </c>
      <c r="B2355" s="2" t="str">
        <f t="shared" si="116"/>
        <v>SG</v>
      </c>
      <c r="C2355" s="4" t="s">
        <v>1615</v>
      </c>
      <c r="D2355" s="4" t="s">
        <v>0</v>
      </c>
      <c r="E2355" s="4" t="s">
        <v>12</v>
      </c>
      <c r="F2355" s="2" t="s">
        <v>0</v>
      </c>
      <c r="G2355" s="2" t="str">
        <f t="shared" si="117"/>
        <v>06</v>
      </c>
      <c r="H2355" s="3">
        <v>1000</v>
      </c>
    </row>
    <row r="2356" spans="1:8" ht="29.25" x14ac:dyDescent="0.25">
      <c r="A2356" s="2" t="str">
        <f>"00064890"</f>
        <v>00064890</v>
      </c>
      <c r="B2356" s="2" t="str">
        <f t="shared" si="116"/>
        <v>SG</v>
      </c>
      <c r="C2356" s="4" t="s">
        <v>1616</v>
      </c>
      <c r="D2356" s="4" t="s">
        <v>0</v>
      </c>
      <c r="E2356" s="4" t="s">
        <v>12</v>
      </c>
      <c r="F2356" s="2" t="s">
        <v>0</v>
      </c>
      <c r="G2356" s="2" t="str">
        <f t="shared" si="117"/>
        <v>06</v>
      </c>
      <c r="H2356" s="3">
        <v>1000</v>
      </c>
    </row>
    <row r="2357" spans="1:8" ht="29.25" x14ac:dyDescent="0.25">
      <c r="A2357" s="2" t="str">
        <f>"00064891"</f>
        <v>00064891</v>
      </c>
      <c r="B2357" s="2" t="str">
        <f t="shared" si="116"/>
        <v>SG</v>
      </c>
      <c r="C2357" s="4" t="s">
        <v>1616</v>
      </c>
      <c r="D2357" s="4" t="s">
        <v>0</v>
      </c>
      <c r="E2357" s="4" t="s">
        <v>12</v>
      </c>
      <c r="F2357" s="2" t="s">
        <v>0</v>
      </c>
      <c r="G2357" s="2" t="str">
        <f t="shared" si="117"/>
        <v>06</v>
      </c>
      <c r="H2357" s="3">
        <v>1000</v>
      </c>
    </row>
    <row r="2358" spans="1:8" x14ac:dyDescent="0.25">
      <c r="A2358" s="2" t="str">
        <f>"00064892"</f>
        <v>00064892</v>
      </c>
      <c r="B2358" s="2" t="str">
        <f t="shared" si="116"/>
        <v>SG</v>
      </c>
      <c r="C2358" s="4" t="s">
        <v>1617</v>
      </c>
      <c r="D2358" s="4" t="s">
        <v>0</v>
      </c>
      <c r="E2358" s="4" t="s">
        <v>12</v>
      </c>
      <c r="F2358" s="2" t="s">
        <v>0</v>
      </c>
      <c r="G2358" s="2" t="str">
        <f t="shared" si="117"/>
        <v>06</v>
      </c>
      <c r="H2358" s="3">
        <v>1000</v>
      </c>
    </row>
    <row r="2359" spans="1:8" x14ac:dyDescent="0.25">
      <c r="A2359" s="2" t="str">
        <f>"00064893"</f>
        <v>00064893</v>
      </c>
      <c r="B2359" s="2" t="str">
        <f t="shared" si="116"/>
        <v>SG</v>
      </c>
      <c r="C2359" s="4" t="s">
        <v>1617</v>
      </c>
      <c r="D2359" s="4" t="s">
        <v>0</v>
      </c>
      <c r="E2359" s="4" t="s">
        <v>12</v>
      </c>
      <c r="F2359" s="2" t="s">
        <v>0</v>
      </c>
      <c r="G2359" s="2" t="str">
        <f t="shared" si="117"/>
        <v>06</v>
      </c>
      <c r="H2359" s="3">
        <v>1000</v>
      </c>
    </row>
    <row r="2360" spans="1:8" ht="29.25" x14ac:dyDescent="0.25">
      <c r="A2360" s="2" t="str">
        <f>"00064895"</f>
        <v>00064895</v>
      </c>
      <c r="B2360" s="2" t="str">
        <f t="shared" si="116"/>
        <v>SG</v>
      </c>
      <c r="C2360" s="4" t="s">
        <v>1616</v>
      </c>
      <c r="D2360" s="4" t="s">
        <v>0</v>
      </c>
      <c r="E2360" s="4" t="s">
        <v>12</v>
      </c>
      <c r="F2360" s="2" t="s">
        <v>0</v>
      </c>
      <c r="G2360" s="2" t="str">
        <f t="shared" si="117"/>
        <v>06</v>
      </c>
      <c r="H2360" s="3">
        <v>1000</v>
      </c>
    </row>
    <row r="2361" spans="1:8" ht="29.25" x14ac:dyDescent="0.25">
      <c r="A2361" s="2" t="str">
        <f>"00064896"</f>
        <v>00064896</v>
      </c>
      <c r="B2361" s="2" t="str">
        <f t="shared" si="116"/>
        <v>SG</v>
      </c>
      <c r="C2361" s="4" t="s">
        <v>1616</v>
      </c>
      <c r="D2361" s="4" t="s">
        <v>0</v>
      </c>
      <c r="E2361" s="4" t="s">
        <v>12</v>
      </c>
      <c r="F2361" s="2" t="s">
        <v>0</v>
      </c>
      <c r="G2361" s="2" t="str">
        <f t="shared" si="117"/>
        <v>06</v>
      </c>
      <c r="H2361" s="3">
        <v>1000</v>
      </c>
    </row>
    <row r="2362" spans="1:8" x14ac:dyDescent="0.25">
      <c r="A2362" s="2" t="str">
        <f>"00064897"</f>
        <v>00064897</v>
      </c>
      <c r="B2362" s="2" t="str">
        <f t="shared" si="116"/>
        <v>SG</v>
      </c>
      <c r="C2362" s="4" t="s">
        <v>1617</v>
      </c>
      <c r="D2362" s="4" t="s">
        <v>0</v>
      </c>
      <c r="E2362" s="4" t="s">
        <v>12</v>
      </c>
      <c r="F2362" s="2" t="s">
        <v>0</v>
      </c>
      <c r="G2362" s="2" t="str">
        <f t="shared" si="117"/>
        <v>06</v>
      </c>
      <c r="H2362" s="3">
        <v>1000</v>
      </c>
    </row>
    <row r="2363" spans="1:8" x14ac:dyDescent="0.25">
      <c r="A2363" s="2" t="str">
        <f>"00064901"</f>
        <v>00064901</v>
      </c>
      <c r="B2363" s="2" t="str">
        <f t="shared" si="116"/>
        <v>SG</v>
      </c>
      <c r="C2363" s="4" t="s">
        <v>1618</v>
      </c>
      <c r="D2363" s="4" t="s">
        <v>0</v>
      </c>
      <c r="E2363" s="4" t="s">
        <v>12</v>
      </c>
      <c r="F2363" s="2" t="s">
        <v>0</v>
      </c>
      <c r="G2363" s="2" t="str">
        <f>"02"</f>
        <v>02</v>
      </c>
      <c r="H2363" s="3">
        <v>552</v>
      </c>
    </row>
    <row r="2364" spans="1:8" x14ac:dyDescent="0.25">
      <c r="A2364" s="2" t="str">
        <f>"00064902"</f>
        <v>00064902</v>
      </c>
      <c r="B2364" s="2" t="str">
        <f t="shared" si="116"/>
        <v>SG</v>
      </c>
      <c r="C2364" s="4" t="s">
        <v>1618</v>
      </c>
      <c r="D2364" s="4" t="s">
        <v>0</v>
      </c>
      <c r="E2364" s="4" t="s">
        <v>12</v>
      </c>
      <c r="F2364" s="2" t="s">
        <v>0</v>
      </c>
      <c r="G2364" s="2" t="str">
        <f>"02"</f>
        <v>02</v>
      </c>
      <c r="H2364" s="3">
        <v>552</v>
      </c>
    </row>
    <row r="2365" spans="1:8" x14ac:dyDescent="0.25">
      <c r="A2365" s="2" t="str">
        <f>"00064905"</f>
        <v>00064905</v>
      </c>
      <c r="B2365" s="2" t="str">
        <f t="shared" si="116"/>
        <v>SG</v>
      </c>
      <c r="C2365" s="4" t="s">
        <v>1619</v>
      </c>
      <c r="D2365" s="4" t="s">
        <v>0</v>
      </c>
      <c r="E2365" s="4" t="s">
        <v>12</v>
      </c>
      <c r="F2365" s="2" t="s">
        <v>0</v>
      </c>
      <c r="G2365" s="2" t="str">
        <f>"06"</f>
        <v>06</v>
      </c>
      <c r="H2365" s="3">
        <v>1000</v>
      </c>
    </row>
    <row r="2366" spans="1:8" x14ac:dyDescent="0.25">
      <c r="A2366" s="2" t="str">
        <f>"00065091"</f>
        <v>00065091</v>
      </c>
      <c r="B2366" s="2" t="str">
        <f t="shared" si="116"/>
        <v>SG</v>
      </c>
      <c r="C2366" s="4" t="s">
        <v>1620</v>
      </c>
      <c r="D2366" s="4" t="s">
        <v>0</v>
      </c>
      <c r="E2366" s="4" t="s">
        <v>12</v>
      </c>
      <c r="F2366" s="2" t="s">
        <v>0</v>
      </c>
      <c r="G2366" s="2" t="str">
        <f>"01"</f>
        <v>01</v>
      </c>
      <c r="H2366" s="3">
        <v>413</v>
      </c>
    </row>
    <row r="2367" spans="1:8" x14ac:dyDescent="0.25">
      <c r="A2367" s="2" t="str">
        <f>"00065093"</f>
        <v>00065093</v>
      </c>
      <c r="B2367" s="2" t="str">
        <f t="shared" si="116"/>
        <v>SG</v>
      </c>
      <c r="C2367" s="4" t="s">
        <v>1621</v>
      </c>
      <c r="D2367" s="4" t="s">
        <v>0</v>
      </c>
      <c r="E2367" s="4" t="s">
        <v>12</v>
      </c>
      <c r="F2367" s="2" t="s">
        <v>0</v>
      </c>
      <c r="G2367" s="2" t="str">
        <f t="shared" ref="G2367:G2373" si="118">"04"</f>
        <v>04</v>
      </c>
      <c r="H2367" s="3">
        <v>785</v>
      </c>
    </row>
    <row r="2368" spans="1:8" x14ac:dyDescent="0.25">
      <c r="A2368" s="2" t="str">
        <f>"00065101"</f>
        <v>00065101</v>
      </c>
      <c r="B2368" s="2" t="str">
        <f t="shared" si="116"/>
        <v>SG</v>
      </c>
      <c r="C2368" s="4" t="s">
        <v>1622</v>
      </c>
      <c r="D2368" s="4" t="s">
        <v>0</v>
      </c>
      <c r="E2368" s="4" t="s">
        <v>12</v>
      </c>
      <c r="F2368" s="2" t="s">
        <v>0</v>
      </c>
      <c r="G2368" s="2" t="str">
        <f t="shared" si="118"/>
        <v>04</v>
      </c>
      <c r="H2368" s="3">
        <v>785</v>
      </c>
    </row>
    <row r="2369" spans="1:8" ht="29.25" x14ac:dyDescent="0.25">
      <c r="A2369" s="2" t="str">
        <f>"00065103"</f>
        <v>00065103</v>
      </c>
      <c r="B2369" s="2" t="str">
        <f t="shared" si="116"/>
        <v>SG</v>
      </c>
      <c r="C2369" s="4" t="s">
        <v>1623</v>
      </c>
      <c r="D2369" s="4" t="s">
        <v>0</v>
      </c>
      <c r="E2369" s="4" t="s">
        <v>12</v>
      </c>
      <c r="F2369" s="2" t="s">
        <v>0</v>
      </c>
      <c r="G2369" s="2" t="str">
        <f t="shared" si="118"/>
        <v>04</v>
      </c>
      <c r="H2369" s="3">
        <v>785</v>
      </c>
    </row>
    <row r="2370" spans="1:8" ht="29.25" x14ac:dyDescent="0.25">
      <c r="A2370" s="2" t="str">
        <f>"00065105"</f>
        <v>00065105</v>
      </c>
      <c r="B2370" s="2" t="str">
        <f t="shared" si="116"/>
        <v>SG</v>
      </c>
      <c r="C2370" s="4" t="s">
        <v>1624</v>
      </c>
      <c r="D2370" s="4" t="s">
        <v>0</v>
      </c>
      <c r="E2370" s="4" t="s">
        <v>12</v>
      </c>
      <c r="F2370" s="2" t="s">
        <v>0</v>
      </c>
      <c r="G2370" s="2" t="str">
        <f t="shared" si="118"/>
        <v>04</v>
      </c>
      <c r="H2370" s="3">
        <v>785</v>
      </c>
    </row>
    <row r="2371" spans="1:8" x14ac:dyDescent="0.25">
      <c r="A2371" s="2" t="str">
        <f>"00065110"</f>
        <v>00065110</v>
      </c>
      <c r="B2371" s="2" t="str">
        <f t="shared" si="116"/>
        <v>SG</v>
      </c>
      <c r="C2371" s="4" t="s">
        <v>1622</v>
      </c>
      <c r="D2371" s="4" t="s">
        <v>0</v>
      </c>
      <c r="E2371" s="4" t="s">
        <v>12</v>
      </c>
      <c r="F2371" s="2" t="s">
        <v>0</v>
      </c>
      <c r="G2371" s="2" t="str">
        <f t="shared" si="118"/>
        <v>04</v>
      </c>
      <c r="H2371" s="3">
        <v>785</v>
      </c>
    </row>
    <row r="2372" spans="1:8" ht="29.25" x14ac:dyDescent="0.25">
      <c r="A2372" s="2" t="str">
        <f>"00065112"</f>
        <v>00065112</v>
      </c>
      <c r="B2372" s="2" t="str">
        <f t="shared" si="116"/>
        <v>SG</v>
      </c>
      <c r="C2372" s="4" t="s">
        <v>1625</v>
      </c>
      <c r="D2372" s="4" t="s">
        <v>0</v>
      </c>
      <c r="E2372" s="4" t="s">
        <v>12</v>
      </c>
      <c r="F2372" s="2" t="s">
        <v>0</v>
      </c>
      <c r="G2372" s="2" t="str">
        <f t="shared" si="118"/>
        <v>04</v>
      </c>
      <c r="H2372" s="3">
        <v>785</v>
      </c>
    </row>
    <row r="2373" spans="1:8" ht="29.25" x14ac:dyDescent="0.25">
      <c r="A2373" s="2" t="str">
        <f>"00065114"</f>
        <v>00065114</v>
      </c>
      <c r="B2373" s="2" t="str">
        <f t="shared" si="116"/>
        <v>SG</v>
      </c>
      <c r="C2373" s="4" t="s">
        <v>1625</v>
      </c>
      <c r="D2373" s="4" t="s">
        <v>0</v>
      </c>
      <c r="E2373" s="4" t="s">
        <v>12</v>
      </c>
      <c r="F2373" s="2" t="s">
        <v>0</v>
      </c>
      <c r="G2373" s="2" t="str">
        <f t="shared" si="118"/>
        <v>04</v>
      </c>
      <c r="H2373" s="3">
        <v>785</v>
      </c>
    </row>
    <row r="2374" spans="1:8" ht="57.75" x14ac:dyDescent="0.25">
      <c r="A2374" s="2" t="str">
        <f>"00065125"</f>
        <v>00065125</v>
      </c>
      <c r="B2374" s="2" t="str">
        <f t="shared" si="116"/>
        <v>SG</v>
      </c>
      <c r="C2374" s="4" t="s">
        <v>1626</v>
      </c>
      <c r="D2374" s="4" t="s">
        <v>0</v>
      </c>
      <c r="E2374" s="4" t="s">
        <v>12</v>
      </c>
      <c r="F2374" s="2" t="s">
        <v>0</v>
      </c>
      <c r="G2374" s="2" t="str">
        <f>"01"</f>
        <v>01</v>
      </c>
      <c r="H2374" s="3">
        <v>413</v>
      </c>
    </row>
    <row r="2375" spans="1:8" x14ac:dyDescent="0.25">
      <c r="A2375" s="2" t="str">
        <f>"00065130"</f>
        <v>00065130</v>
      </c>
      <c r="B2375" s="2" t="str">
        <f t="shared" si="116"/>
        <v>SG</v>
      </c>
      <c r="C2375" s="4" t="s">
        <v>1627</v>
      </c>
      <c r="D2375" s="4" t="s">
        <v>0</v>
      </c>
      <c r="E2375" s="4" t="s">
        <v>12</v>
      </c>
      <c r="F2375" s="2" t="s">
        <v>0</v>
      </c>
      <c r="G2375" s="2" t="str">
        <f>"04"</f>
        <v>04</v>
      </c>
      <c r="H2375" s="3">
        <v>785</v>
      </c>
    </row>
    <row r="2376" spans="1:8" x14ac:dyDescent="0.25">
      <c r="A2376" s="2" t="str">
        <f>"00065135"</f>
        <v>00065135</v>
      </c>
      <c r="B2376" s="2" t="str">
        <f t="shared" si="116"/>
        <v>SG</v>
      </c>
      <c r="C2376" s="4" t="s">
        <v>1627</v>
      </c>
      <c r="D2376" s="4" t="s">
        <v>0</v>
      </c>
      <c r="E2376" s="4" t="s">
        <v>12</v>
      </c>
      <c r="F2376" s="2" t="s">
        <v>0</v>
      </c>
      <c r="G2376" s="2" t="str">
        <f>"04"</f>
        <v>04</v>
      </c>
      <c r="H2376" s="3">
        <v>785</v>
      </c>
    </row>
    <row r="2377" spans="1:8" x14ac:dyDescent="0.25">
      <c r="A2377" s="2" t="str">
        <f>"00065140"</f>
        <v>00065140</v>
      </c>
      <c r="B2377" s="2" t="str">
        <f t="shared" si="116"/>
        <v>SG</v>
      </c>
      <c r="C2377" s="4" t="s">
        <v>1628</v>
      </c>
      <c r="D2377" s="4" t="s">
        <v>0</v>
      </c>
      <c r="E2377" s="4" t="s">
        <v>12</v>
      </c>
      <c r="F2377" s="2" t="s">
        <v>0</v>
      </c>
      <c r="G2377" s="2" t="str">
        <f>"04"</f>
        <v>04</v>
      </c>
      <c r="H2377" s="3">
        <v>785</v>
      </c>
    </row>
    <row r="2378" spans="1:8" x14ac:dyDescent="0.25">
      <c r="A2378" s="2" t="str">
        <f>"00065150"</f>
        <v>00065150</v>
      </c>
      <c r="B2378" s="2" t="str">
        <f t="shared" si="116"/>
        <v>SG</v>
      </c>
      <c r="C2378" s="4" t="s">
        <v>1629</v>
      </c>
      <c r="D2378" s="4" t="s">
        <v>0</v>
      </c>
      <c r="E2378" s="4" t="s">
        <v>12</v>
      </c>
      <c r="F2378" s="2" t="s">
        <v>0</v>
      </c>
      <c r="G2378" s="2" t="str">
        <f>"01"</f>
        <v>01</v>
      </c>
      <c r="H2378" s="3">
        <v>413</v>
      </c>
    </row>
    <row r="2379" spans="1:8" x14ac:dyDescent="0.25">
      <c r="A2379" s="2" t="str">
        <f>"00065155"</f>
        <v>00065155</v>
      </c>
      <c r="B2379" s="2" t="str">
        <f t="shared" si="116"/>
        <v>SG</v>
      </c>
      <c r="C2379" s="4" t="s">
        <v>1630</v>
      </c>
      <c r="D2379" s="4" t="s">
        <v>0</v>
      </c>
      <c r="E2379" s="4" t="s">
        <v>12</v>
      </c>
      <c r="F2379" s="2" t="s">
        <v>0</v>
      </c>
      <c r="G2379" s="2" t="str">
        <f>"04"</f>
        <v>04</v>
      </c>
      <c r="H2379" s="3">
        <v>785</v>
      </c>
    </row>
    <row r="2380" spans="1:8" ht="29.25" x14ac:dyDescent="0.25">
      <c r="A2380" s="2" t="str">
        <f>"00065175"</f>
        <v>00065175</v>
      </c>
      <c r="B2380" s="2" t="str">
        <f t="shared" si="116"/>
        <v>SG</v>
      </c>
      <c r="C2380" s="4" t="s">
        <v>1631</v>
      </c>
      <c r="D2380" s="4" t="s">
        <v>0</v>
      </c>
      <c r="E2380" s="4" t="s">
        <v>12</v>
      </c>
      <c r="F2380" s="2" t="s">
        <v>0</v>
      </c>
      <c r="G2380" s="2" t="str">
        <f>"01"</f>
        <v>01</v>
      </c>
      <c r="H2380" s="3">
        <v>413</v>
      </c>
    </row>
    <row r="2381" spans="1:8" ht="29.25" x14ac:dyDescent="0.25">
      <c r="A2381" s="2" t="str">
        <f>"00065235"</f>
        <v>00065235</v>
      </c>
      <c r="B2381" s="2" t="str">
        <f t="shared" ref="B2381:B2444" si="119">"SG"</f>
        <v>SG</v>
      </c>
      <c r="C2381" s="4" t="s">
        <v>1632</v>
      </c>
      <c r="D2381" s="4" t="s">
        <v>0</v>
      </c>
      <c r="E2381" s="4" t="s">
        <v>12</v>
      </c>
      <c r="F2381" s="2" t="s">
        <v>0</v>
      </c>
      <c r="G2381" s="2" t="str">
        <f>"02"</f>
        <v>02</v>
      </c>
      <c r="H2381" s="3">
        <v>552</v>
      </c>
    </row>
    <row r="2382" spans="1:8" ht="29.25" x14ac:dyDescent="0.25">
      <c r="A2382" s="2" t="str">
        <f>"00065260"</f>
        <v>00065260</v>
      </c>
      <c r="B2382" s="2" t="str">
        <f t="shared" si="119"/>
        <v>SG</v>
      </c>
      <c r="C2382" s="4" t="s">
        <v>1632</v>
      </c>
      <c r="D2382" s="4" t="s">
        <v>0</v>
      </c>
      <c r="E2382" s="4" t="s">
        <v>12</v>
      </c>
      <c r="F2382" s="2" t="s">
        <v>0</v>
      </c>
      <c r="G2382" s="2" t="str">
        <f>"01"</f>
        <v>01</v>
      </c>
      <c r="H2382" s="3">
        <v>413</v>
      </c>
    </row>
    <row r="2383" spans="1:8" ht="29.25" x14ac:dyDescent="0.25">
      <c r="A2383" s="2" t="str">
        <f>"00065265"</f>
        <v>00065265</v>
      </c>
      <c r="B2383" s="2" t="str">
        <f t="shared" si="119"/>
        <v>SG</v>
      </c>
      <c r="C2383" s="4" t="s">
        <v>1632</v>
      </c>
      <c r="D2383" s="4" t="s">
        <v>0</v>
      </c>
      <c r="E2383" s="4" t="s">
        <v>12</v>
      </c>
      <c r="F2383" s="2" t="s">
        <v>0</v>
      </c>
      <c r="G2383" s="2" t="str">
        <f>"02"</f>
        <v>02</v>
      </c>
      <c r="H2383" s="3">
        <v>552</v>
      </c>
    </row>
    <row r="2384" spans="1:8" x14ac:dyDescent="0.25">
      <c r="A2384" s="2" t="str">
        <f>"00065270"</f>
        <v>00065270</v>
      </c>
      <c r="B2384" s="2" t="str">
        <f t="shared" si="119"/>
        <v>SG</v>
      </c>
      <c r="C2384" s="4" t="s">
        <v>1633</v>
      </c>
      <c r="D2384" s="4" t="s">
        <v>0</v>
      </c>
      <c r="E2384" s="4" t="s">
        <v>12</v>
      </c>
      <c r="F2384" s="2" t="s">
        <v>0</v>
      </c>
      <c r="G2384" s="2" t="str">
        <f>"01"</f>
        <v>01</v>
      </c>
      <c r="H2384" s="3">
        <v>413</v>
      </c>
    </row>
    <row r="2385" spans="1:8" x14ac:dyDescent="0.25">
      <c r="A2385" s="2" t="str">
        <f>"00065272"</f>
        <v>00065272</v>
      </c>
      <c r="B2385" s="2" t="str">
        <f t="shared" si="119"/>
        <v>SG</v>
      </c>
      <c r="C2385" s="4" t="s">
        <v>1633</v>
      </c>
      <c r="D2385" s="4" t="s">
        <v>0</v>
      </c>
      <c r="E2385" s="4" t="s">
        <v>12</v>
      </c>
      <c r="F2385" s="2" t="s">
        <v>0</v>
      </c>
      <c r="G2385" s="2" t="str">
        <f>"01"</f>
        <v>01</v>
      </c>
      <c r="H2385" s="3">
        <v>413</v>
      </c>
    </row>
    <row r="2386" spans="1:8" x14ac:dyDescent="0.25">
      <c r="A2386" s="2" t="str">
        <f>"00065275"</f>
        <v>00065275</v>
      </c>
      <c r="B2386" s="2" t="str">
        <f t="shared" si="119"/>
        <v>SG</v>
      </c>
      <c r="C2386" s="4" t="s">
        <v>1633</v>
      </c>
      <c r="D2386" s="4" t="s">
        <v>0</v>
      </c>
      <c r="E2386" s="4" t="s">
        <v>12</v>
      </c>
      <c r="F2386" s="2" t="s">
        <v>0</v>
      </c>
      <c r="G2386" s="2" t="str">
        <f>"04"</f>
        <v>04</v>
      </c>
      <c r="H2386" s="3">
        <v>785</v>
      </c>
    </row>
    <row r="2387" spans="1:8" x14ac:dyDescent="0.25">
      <c r="A2387" s="2" t="str">
        <f>"00065280"</f>
        <v>00065280</v>
      </c>
      <c r="B2387" s="2" t="str">
        <f t="shared" si="119"/>
        <v>SG</v>
      </c>
      <c r="C2387" s="4" t="s">
        <v>1633</v>
      </c>
      <c r="D2387" s="4" t="s">
        <v>0</v>
      </c>
      <c r="E2387" s="4" t="s">
        <v>12</v>
      </c>
      <c r="F2387" s="2" t="s">
        <v>0</v>
      </c>
      <c r="G2387" s="2" t="str">
        <f>"02"</f>
        <v>02</v>
      </c>
      <c r="H2387" s="3">
        <v>552</v>
      </c>
    </row>
    <row r="2388" spans="1:8" x14ac:dyDescent="0.25">
      <c r="A2388" s="2" t="str">
        <f>"00065285"</f>
        <v>00065285</v>
      </c>
      <c r="B2388" s="2" t="str">
        <f t="shared" si="119"/>
        <v>SG</v>
      </c>
      <c r="C2388" s="4" t="s">
        <v>1633</v>
      </c>
      <c r="D2388" s="4" t="s">
        <v>0</v>
      </c>
      <c r="E2388" s="4" t="s">
        <v>12</v>
      </c>
      <c r="F2388" s="2" t="s">
        <v>0</v>
      </c>
      <c r="G2388" s="2" t="str">
        <f>"02"</f>
        <v>02</v>
      </c>
      <c r="H2388" s="3">
        <v>552</v>
      </c>
    </row>
    <row r="2389" spans="1:8" ht="29.25" x14ac:dyDescent="0.25">
      <c r="A2389" s="2" t="str">
        <f>"00065290"</f>
        <v>00065290</v>
      </c>
      <c r="B2389" s="2" t="str">
        <f t="shared" si="119"/>
        <v>SG</v>
      </c>
      <c r="C2389" s="4" t="s">
        <v>1634</v>
      </c>
      <c r="D2389" s="4" t="s">
        <v>0</v>
      </c>
      <c r="E2389" s="4" t="s">
        <v>12</v>
      </c>
      <c r="F2389" s="2" t="s">
        <v>0</v>
      </c>
      <c r="G2389" s="2" t="str">
        <f>"02"</f>
        <v>02</v>
      </c>
      <c r="H2389" s="3">
        <v>552</v>
      </c>
    </row>
    <row r="2390" spans="1:8" x14ac:dyDescent="0.25">
      <c r="A2390" s="2" t="str">
        <f>"00065400"</f>
        <v>00065400</v>
      </c>
      <c r="B2390" s="2" t="str">
        <f t="shared" si="119"/>
        <v>SG</v>
      </c>
      <c r="C2390" s="4" t="s">
        <v>1635</v>
      </c>
      <c r="D2390" s="4" t="s">
        <v>0</v>
      </c>
      <c r="E2390" s="4" t="s">
        <v>12</v>
      </c>
      <c r="F2390" s="2" t="s">
        <v>0</v>
      </c>
      <c r="G2390" s="2" t="str">
        <f>"01"</f>
        <v>01</v>
      </c>
      <c r="H2390" s="3">
        <v>413</v>
      </c>
    </row>
    <row r="2391" spans="1:8" x14ac:dyDescent="0.25">
      <c r="A2391" s="2" t="str">
        <f>"00065410"</f>
        <v>00065410</v>
      </c>
      <c r="B2391" s="2" t="str">
        <f t="shared" si="119"/>
        <v>SG</v>
      </c>
      <c r="C2391" s="4" t="s">
        <v>1636</v>
      </c>
      <c r="D2391" s="4" t="s">
        <v>0</v>
      </c>
      <c r="E2391" s="4" t="s">
        <v>12</v>
      </c>
      <c r="F2391" s="2" t="s">
        <v>0</v>
      </c>
      <c r="G2391" s="2" t="str">
        <f>"02"</f>
        <v>02</v>
      </c>
      <c r="H2391" s="3">
        <v>552</v>
      </c>
    </row>
    <row r="2392" spans="1:8" x14ac:dyDescent="0.25">
      <c r="A2392" s="2" t="str">
        <f>"00065420"</f>
        <v>00065420</v>
      </c>
      <c r="B2392" s="2" t="str">
        <f t="shared" si="119"/>
        <v>SG</v>
      </c>
      <c r="C2392" s="4" t="s">
        <v>1635</v>
      </c>
      <c r="D2392" s="4" t="s">
        <v>0</v>
      </c>
      <c r="E2392" s="4" t="s">
        <v>12</v>
      </c>
      <c r="F2392" s="2" t="s">
        <v>0</v>
      </c>
      <c r="G2392" s="2" t="str">
        <f>"02"</f>
        <v>02</v>
      </c>
      <c r="H2392" s="3">
        <v>552</v>
      </c>
    </row>
    <row r="2393" spans="1:8" x14ac:dyDescent="0.25">
      <c r="A2393" s="2" t="str">
        <f>"00065426"</f>
        <v>00065426</v>
      </c>
      <c r="B2393" s="2" t="str">
        <f t="shared" si="119"/>
        <v>SG</v>
      </c>
      <c r="C2393" s="4" t="s">
        <v>1635</v>
      </c>
      <c r="D2393" s="4" t="s">
        <v>0</v>
      </c>
      <c r="E2393" s="4" t="s">
        <v>12</v>
      </c>
      <c r="F2393" s="2" t="s">
        <v>0</v>
      </c>
      <c r="G2393" s="2" t="str">
        <f>"02"</f>
        <v>02</v>
      </c>
      <c r="H2393" s="3">
        <v>552</v>
      </c>
    </row>
    <row r="2394" spans="1:8" x14ac:dyDescent="0.25">
      <c r="A2394" s="2" t="str">
        <f>"00065710"</f>
        <v>00065710</v>
      </c>
      <c r="B2394" s="2" t="str">
        <f t="shared" si="119"/>
        <v>SG</v>
      </c>
      <c r="C2394" s="4" t="s">
        <v>1637</v>
      </c>
      <c r="D2394" s="4" t="s">
        <v>0</v>
      </c>
      <c r="E2394" s="4" t="s">
        <v>12</v>
      </c>
      <c r="F2394" s="2" t="s">
        <v>0</v>
      </c>
      <c r="G2394" s="2" t="str">
        <f>"06"</f>
        <v>06</v>
      </c>
      <c r="H2394" s="3">
        <v>1000</v>
      </c>
    </row>
    <row r="2395" spans="1:8" x14ac:dyDescent="0.25">
      <c r="A2395" s="2" t="str">
        <f>"00065730"</f>
        <v>00065730</v>
      </c>
      <c r="B2395" s="2" t="str">
        <f t="shared" si="119"/>
        <v>SG</v>
      </c>
      <c r="C2395" s="4" t="s">
        <v>1637</v>
      </c>
      <c r="D2395" s="4" t="s">
        <v>0</v>
      </c>
      <c r="E2395" s="4" t="s">
        <v>12</v>
      </c>
      <c r="F2395" s="2" t="s">
        <v>0</v>
      </c>
      <c r="G2395" s="2" t="str">
        <f>"06"</f>
        <v>06</v>
      </c>
      <c r="H2395" s="3">
        <v>1000</v>
      </c>
    </row>
    <row r="2396" spans="1:8" x14ac:dyDescent="0.25">
      <c r="A2396" s="2" t="str">
        <f>"00065750"</f>
        <v>00065750</v>
      </c>
      <c r="B2396" s="2" t="str">
        <f t="shared" si="119"/>
        <v>SG</v>
      </c>
      <c r="C2396" s="4" t="s">
        <v>1637</v>
      </c>
      <c r="D2396" s="4" t="s">
        <v>0</v>
      </c>
      <c r="E2396" s="4" t="s">
        <v>12</v>
      </c>
      <c r="F2396" s="2" t="s">
        <v>0</v>
      </c>
      <c r="G2396" s="2" t="str">
        <f>"06"</f>
        <v>06</v>
      </c>
      <c r="H2396" s="3">
        <v>1000</v>
      </c>
    </row>
    <row r="2397" spans="1:8" x14ac:dyDescent="0.25">
      <c r="A2397" s="2" t="str">
        <f>"00065755"</f>
        <v>00065755</v>
      </c>
      <c r="B2397" s="2" t="str">
        <f t="shared" si="119"/>
        <v>SG</v>
      </c>
      <c r="C2397" s="4" t="s">
        <v>1637</v>
      </c>
      <c r="D2397" s="4" t="s">
        <v>0</v>
      </c>
      <c r="E2397" s="4" t="s">
        <v>12</v>
      </c>
      <c r="F2397" s="2" t="s">
        <v>0</v>
      </c>
      <c r="G2397" s="2" t="str">
        <f>"06"</f>
        <v>06</v>
      </c>
      <c r="H2397" s="3">
        <v>1000</v>
      </c>
    </row>
    <row r="2398" spans="1:8" ht="29.25" x14ac:dyDescent="0.25">
      <c r="A2398" s="2" t="str">
        <f>"00065756"</f>
        <v>00065756</v>
      </c>
      <c r="B2398" s="2" t="str">
        <f t="shared" si="119"/>
        <v>SG</v>
      </c>
      <c r="C2398" s="4" t="s">
        <v>1638</v>
      </c>
      <c r="D2398" s="4" t="s">
        <v>0</v>
      </c>
      <c r="E2398" s="4" t="s">
        <v>12</v>
      </c>
      <c r="F2398" s="2" t="s">
        <v>0</v>
      </c>
      <c r="G2398" s="2" t="str">
        <f>"06"</f>
        <v>06</v>
      </c>
      <c r="H2398" s="3">
        <v>1000</v>
      </c>
    </row>
    <row r="2399" spans="1:8" ht="29.25" x14ac:dyDescent="0.25">
      <c r="A2399" s="2" t="str">
        <f>"00065770"</f>
        <v>00065770</v>
      </c>
      <c r="B2399" s="2" t="str">
        <f t="shared" si="119"/>
        <v>SG</v>
      </c>
      <c r="C2399" s="4" t="s">
        <v>1639</v>
      </c>
      <c r="D2399" s="4" t="s">
        <v>0</v>
      </c>
      <c r="E2399" s="4" t="s">
        <v>12</v>
      </c>
      <c r="F2399" s="2" t="s">
        <v>0</v>
      </c>
      <c r="G2399" s="2" t="str">
        <f>"09"</f>
        <v>09</v>
      </c>
      <c r="H2399" s="3">
        <v>1662</v>
      </c>
    </row>
    <row r="2400" spans="1:8" ht="29.25" x14ac:dyDescent="0.25">
      <c r="A2400" s="2" t="str">
        <f>"00065772"</f>
        <v>00065772</v>
      </c>
      <c r="B2400" s="2" t="str">
        <f t="shared" si="119"/>
        <v>SG</v>
      </c>
      <c r="C2400" s="4" t="s">
        <v>1640</v>
      </c>
      <c r="D2400" s="4" t="s">
        <v>0</v>
      </c>
      <c r="E2400" s="4" t="s">
        <v>12</v>
      </c>
      <c r="F2400" s="2" t="s">
        <v>0</v>
      </c>
      <c r="G2400" s="2" t="str">
        <f>"01"</f>
        <v>01</v>
      </c>
      <c r="H2400" s="3">
        <v>413</v>
      </c>
    </row>
    <row r="2401" spans="1:8" ht="29.25" x14ac:dyDescent="0.25">
      <c r="A2401" s="2" t="str">
        <f>"00065775"</f>
        <v>00065775</v>
      </c>
      <c r="B2401" s="2" t="str">
        <f t="shared" si="119"/>
        <v>SG</v>
      </c>
      <c r="C2401" s="4" t="s">
        <v>1640</v>
      </c>
      <c r="D2401" s="4" t="s">
        <v>0</v>
      </c>
      <c r="E2401" s="4" t="s">
        <v>12</v>
      </c>
      <c r="F2401" s="2" t="s">
        <v>0</v>
      </c>
      <c r="G2401" s="2" t="str">
        <f>"01"</f>
        <v>01</v>
      </c>
      <c r="H2401" s="3">
        <v>413</v>
      </c>
    </row>
    <row r="2402" spans="1:8" ht="29.25" x14ac:dyDescent="0.25">
      <c r="A2402" s="2" t="str">
        <f>"00065780"</f>
        <v>00065780</v>
      </c>
      <c r="B2402" s="2" t="str">
        <f t="shared" si="119"/>
        <v>SG</v>
      </c>
      <c r="C2402" s="4" t="s">
        <v>1641</v>
      </c>
      <c r="D2402" s="4" t="s">
        <v>0</v>
      </c>
      <c r="E2402" s="4" t="s">
        <v>12</v>
      </c>
      <c r="F2402" s="2" t="s">
        <v>0</v>
      </c>
      <c r="G2402" s="2" t="str">
        <f>"04"</f>
        <v>04</v>
      </c>
      <c r="H2402" s="3">
        <v>785</v>
      </c>
    </row>
    <row r="2403" spans="1:8" ht="29.25" x14ac:dyDescent="0.25">
      <c r="A2403" s="2" t="str">
        <f>"00065781"</f>
        <v>00065781</v>
      </c>
      <c r="B2403" s="2" t="str">
        <f t="shared" si="119"/>
        <v>SG</v>
      </c>
      <c r="C2403" s="4" t="s">
        <v>1641</v>
      </c>
      <c r="D2403" s="4" t="s">
        <v>0</v>
      </c>
      <c r="E2403" s="4" t="s">
        <v>12</v>
      </c>
      <c r="F2403" s="2" t="s">
        <v>0</v>
      </c>
      <c r="G2403" s="2" t="str">
        <f>"06"</f>
        <v>06</v>
      </c>
      <c r="H2403" s="3">
        <v>1000</v>
      </c>
    </row>
    <row r="2404" spans="1:8" ht="29.25" x14ac:dyDescent="0.25">
      <c r="A2404" s="2" t="str">
        <f>"00065782"</f>
        <v>00065782</v>
      </c>
      <c r="B2404" s="2" t="str">
        <f t="shared" si="119"/>
        <v>SG</v>
      </c>
      <c r="C2404" s="4" t="s">
        <v>1641</v>
      </c>
      <c r="D2404" s="4" t="s">
        <v>0</v>
      </c>
      <c r="E2404" s="4" t="s">
        <v>12</v>
      </c>
      <c r="F2404" s="2" t="s">
        <v>0</v>
      </c>
      <c r="G2404" s="2" t="str">
        <f>"04"</f>
        <v>04</v>
      </c>
      <c r="H2404" s="3">
        <v>785</v>
      </c>
    </row>
    <row r="2405" spans="1:8" x14ac:dyDescent="0.25">
      <c r="A2405" s="2" t="str">
        <f>"00065800"</f>
        <v>00065800</v>
      </c>
      <c r="B2405" s="2" t="str">
        <f t="shared" si="119"/>
        <v>SG</v>
      </c>
      <c r="C2405" s="4" t="s">
        <v>1642</v>
      </c>
      <c r="D2405" s="4" t="s">
        <v>0</v>
      </c>
      <c r="E2405" s="4" t="s">
        <v>12</v>
      </c>
      <c r="F2405" s="2" t="s">
        <v>0</v>
      </c>
      <c r="G2405" s="2" t="str">
        <f>"01"</f>
        <v>01</v>
      </c>
      <c r="H2405" s="3">
        <v>413</v>
      </c>
    </row>
    <row r="2406" spans="1:8" x14ac:dyDescent="0.25">
      <c r="A2406" s="2" t="str">
        <f>"00065810"</f>
        <v>00065810</v>
      </c>
      <c r="B2406" s="2" t="str">
        <f t="shared" si="119"/>
        <v>SG</v>
      </c>
      <c r="C2406" s="4" t="s">
        <v>1642</v>
      </c>
      <c r="D2406" s="4" t="s">
        <v>0</v>
      </c>
      <c r="E2406" s="4" t="s">
        <v>12</v>
      </c>
      <c r="F2406" s="2" t="s">
        <v>0</v>
      </c>
      <c r="G2406" s="2" t="str">
        <f t="shared" ref="G2406:G2416" si="120">"02"</f>
        <v>02</v>
      </c>
      <c r="H2406" s="3">
        <v>552</v>
      </c>
    </row>
    <row r="2407" spans="1:8" x14ac:dyDescent="0.25">
      <c r="A2407" s="2" t="str">
        <f>"00065815"</f>
        <v>00065815</v>
      </c>
      <c r="B2407" s="2" t="str">
        <f t="shared" si="119"/>
        <v>SG</v>
      </c>
      <c r="C2407" s="4" t="s">
        <v>1642</v>
      </c>
      <c r="D2407" s="4" t="s">
        <v>0</v>
      </c>
      <c r="E2407" s="4" t="s">
        <v>12</v>
      </c>
      <c r="F2407" s="2" t="s">
        <v>0</v>
      </c>
      <c r="G2407" s="2" t="str">
        <f t="shared" si="120"/>
        <v>02</v>
      </c>
      <c r="H2407" s="3">
        <v>552</v>
      </c>
    </row>
    <row r="2408" spans="1:8" ht="29.25" x14ac:dyDescent="0.25">
      <c r="A2408" s="2" t="str">
        <f>"00065820"</f>
        <v>00065820</v>
      </c>
      <c r="B2408" s="2" t="str">
        <f t="shared" si="119"/>
        <v>SG</v>
      </c>
      <c r="C2408" s="4" t="s">
        <v>1643</v>
      </c>
      <c r="D2408" s="4" t="s">
        <v>0</v>
      </c>
      <c r="E2408" s="4" t="s">
        <v>12</v>
      </c>
      <c r="F2408" s="2" t="s">
        <v>0</v>
      </c>
      <c r="G2408" s="2" t="str">
        <f t="shared" si="120"/>
        <v>02</v>
      </c>
      <c r="H2408" s="3">
        <v>552</v>
      </c>
    </row>
    <row r="2409" spans="1:8" x14ac:dyDescent="0.25">
      <c r="A2409" s="2" t="str">
        <f>"00065850"</f>
        <v>00065850</v>
      </c>
      <c r="B2409" s="2" t="str">
        <f t="shared" si="119"/>
        <v>SG</v>
      </c>
      <c r="C2409" s="4" t="s">
        <v>1644</v>
      </c>
      <c r="D2409" s="4" t="s">
        <v>0</v>
      </c>
      <c r="E2409" s="4" t="s">
        <v>12</v>
      </c>
      <c r="F2409" s="2" t="s">
        <v>0</v>
      </c>
      <c r="G2409" s="2" t="str">
        <f t="shared" si="120"/>
        <v>02</v>
      </c>
      <c r="H2409" s="3">
        <v>552</v>
      </c>
    </row>
    <row r="2410" spans="1:8" ht="29.25" x14ac:dyDescent="0.25">
      <c r="A2410" s="2" t="str">
        <f>"00065865"</f>
        <v>00065865</v>
      </c>
      <c r="B2410" s="2" t="str">
        <f t="shared" si="119"/>
        <v>SG</v>
      </c>
      <c r="C2410" s="4" t="s">
        <v>1645</v>
      </c>
      <c r="D2410" s="4" t="s">
        <v>0</v>
      </c>
      <c r="E2410" s="4" t="s">
        <v>12</v>
      </c>
      <c r="F2410" s="2" t="s">
        <v>0</v>
      </c>
      <c r="G2410" s="2" t="str">
        <f t="shared" si="120"/>
        <v>02</v>
      </c>
      <c r="H2410" s="3">
        <v>552</v>
      </c>
    </row>
    <row r="2411" spans="1:8" ht="29.25" x14ac:dyDescent="0.25">
      <c r="A2411" s="2" t="str">
        <f>"00065870"</f>
        <v>00065870</v>
      </c>
      <c r="B2411" s="2" t="str">
        <f t="shared" si="119"/>
        <v>SG</v>
      </c>
      <c r="C2411" s="4" t="s">
        <v>1645</v>
      </c>
      <c r="D2411" s="4" t="s">
        <v>0</v>
      </c>
      <c r="E2411" s="4" t="s">
        <v>12</v>
      </c>
      <c r="F2411" s="2" t="s">
        <v>0</v>
      </c>
      <c r="G2411" s="2" t="str">
        <f t="shared" si="120"/>
        <v>02</v>
      </c>
      <c r="H2411" s="3">
        <v>552</v>
      </c>
    </row>
    <row r="2412" spans="1:8" ht="29.25" x14ac:dyDescent="0.25">
      <c r="A2412" s="2" t="str">
        <f>"00065875"</f>
        <v>00065875</v>
      </c>
      <c r="B2412" s="2" t="str">
        <f t="shared" si="119"/>
        <v>SG</v>
      </c>
      <c r="C2412" s="4" t="s">
        <v>1645</v>
      </c>
      <c r="D2412" s="4" t="s">
        <v>0</v>
      </c>
      <c r="E2412" s="4" t="s">
        <v>12</v>
      </c>
      <c r="F2412" s="2" t="s">
        <v>0</v>
      </c>
      <c r="G2412" s="2" t="str">
        <f t="shared" si="120"/>
        <v>02</v>
      </c>
      <c r="H2412" s="3">
        <v>552</v>
      </c>
    </row>
    <row r="2413" spans="1:8" ht="29.25" x14ac:dyDescent="0.25">
      <c r="A2413" s="2" t="str">
        <f>"00065880"</f>
        <v>00065880</v>
      </c>
      <c r="B2413" s="2" t="str">
        <f t="shared" si="119"/>
        <v>SG</v>
      </c>
      <c r="C2413" s="4" t="s">
        <v>1645</v>
      </c>
      <c r="D2413" s="4" t="s">
        <v>0</v>
      </c>
      <c r="E2413" s="4" t="s">
        <v>12</v>
      </c>
      <c r="F2413" s="2" t="s">
        <v>0</v>
      </c>
      <c r="G2413" s="2" t="str">
        <f t="shared" si="120"/>
        <v>02</v>
      </c>
      <c r="H2413" s="3">
        <v>552</v>
      </c>
    </row>
    <row r="2414" spans="1:8" x14ac:dyDescent="0.25">
      <c r="A2414" s="2" t="str">
        <f>"00065900"</f>
        <v>00065900</v>
      </c>
      <c r="B2414" s="2" t="str">
        <f t="shared" si="119"/>
        <v>SG</v>
      </c>
      <c r="C2414" s="4" t="s">
        <v>1646</v>
      </c>
      <c r="D2414" s="4" t="s">
        <v>0</v>
      </c>
      <c r="E2414" s="4" t="s">
        <v>12</v>
      </c>
      <c r="F2414" s="2" t="s">
        <v>0</v>
      </c>
      <c r="G2414" s="2" t="str">
        <f t="shared" si="120"/>
        <v>02</v>
      </c>
      <c r="H2414" s="3">
        <v>552</v>
      </c>
    </row>
    <row r="2415" spans="1:8" x14ac:dyDescent="0.25">
      <c r="A2415" s="2" t="str">
        <f>"00065920"</f>
        <v>00065920</v>
      </c>
      <c r="B2415" s="2" t="str">
        <f t="shared" si="119"/>
        <v>SG</v>
      </c>
      <c r="C2415" s="4" t="s">
        <v>1647</v>
      </c>
      <c r="D2415" s="4" t="s">
        <v>0</v>
      </c>
      <c r="E2415" s="4" t="s">
        <v>12</v>
      </c>
      <c r="F2415" s="2" t="s">
        <v>0</v>
      </c>
      <c r="G2415" s="2" t="str">
        <f t="shared" si="120"/>
        <v>02</v>
      </c>
      <c r="H2415" s="3">
        <v>552</v>
      </c>
    </row>
    <row r="2416" spans="1:8" ht="29.25" x14ac:dyDescent="0.25">
      <c r="A2416" s="2" t="str">
        <f>"00065930"</f>
        <v>00065930</v>
      </c>
      <c r="B2416" s="2" t="str">
        <f t="shared" si="119"/>
        <v>SG</v>
      </c>
      <c r="C2416" s="4" t="s">
        <v>1648</v>
      </c>
      <c r="D2416" s="4" t="s">
        <v>0</v>
      </c>
      <c r="E2416" s="4" t="s">
        <v>12</v>
      </c>
      <c r="F2416" s="2" t="s">
        <v>0</v>
      </c>
      <c r="G2416" s="2" t="str">
        <f t="shared" si="120"/>
        <v>02</v>
      </c>
      <c r="H2416" s="3">
        <v>552</v>
      </c>
    </row>
    <row r="2417" spans="1:8" ht="29.25" x14ac:dyDescent="0.25">
      <c r="A2417" s="2" t="str">
        <f>"00066020"</f>
        <v>00066020</v>
      </c>
      <c r="B2417" s="2" t="str">
        <f t="shared" si="119"/>
        <v>SG</v>
      </c>
      <c r="C2417" s="4" t="s">
        <v>1649</v>
      </c>
      <c r="D2417" s="4" t="s">
        <v>0</v>
      </c>
      <c r="E2417" s="4" t="s">
        <v>12</v>
      </c>
      <c r="F2417" s="2" t="s">
        <v>0</v>
      </c>
      <c r="G2417" s="2" t="str">
        <f>"01"</f>
        <v>01</v>
      </c>
      <c r="H2417" s="3">
        <v>413</v>
      </c>
    </row>
    <row r="2418" spans="1:8" ht="29.25" x14ac:dyDescent="0.25">
      <c r="A2418" s="2" t="str">
        <f>"00066030"</f>
        <v>00066030</v>
      </c>
      <c r="B2418" s="2" t="str">
        <f t="shared" si="119"/>
        <v>SG</v>
      </c>
      <c r="C2418" s="4" t="s">
        <v>1649</v>
      </c>
      <c r="D2418" s="4" t="s">
        <v>0</v>
      </c>
      <c r="E2418" s="4" t="s">
        <v>12</v>
      </c>
      <c r="F2418" s="2" t="s">
        <v>0</v>
      </c>
      <c r="G2418" s="2" t="str">
        <f>"01"</f>
        <v>01</v>
      </c>
      <c r="H2418" s="3">
        <v>413</v>
      </c>
    </row>
    <row r="2419" spans="1:8" x14ac:dyDescent="0.25">
      <c r="A2419" s="2" t="str">
        <f>"00066130"</f>
        <v>00066130</v>
      </c>
      <c r="B2419" s="2" t="str">
        <f t="shared" si="119"/>
        <v>SG</v>
      </c>
      <c r="C2419" s="4" t="s">
        <v>1646</v>
      </c>
      <c r="D2419" s="4" t="s">
        <v>0</v>
      </c>
      <c r="E2419" s="4" t="s">
        <v>12</v>
      </c>
      <c r="F2419" s="2" t="s">
        <v>0</v>
      </c>
      <c r="G2419" s="2" t="str">
        <f>"01"</f>
        <v>01</v>
      </c>
      <c r="H2419" s="3">
        <v>413</v>
      </c>
    </row>
    <row r="2420" spans="1:8" x14ac:dyDescent="0.25">
      <c r="A2420" s="2" t="str">
        <f>"00066150"</f>
        <v>00066150</v>
      </c>
      <c r="B2420" s="2" t="str">
        <f t="shared" si="119"/>
        <v>SG</v>
      </c>
      <c r="C2420" s="4" t="s">
        <v>1650</v>
      </c>
      <c r="D2420" s="4" t="s">
        <v>0</v>
      </c>
      <c r="E2420" s="4" t="s">
        <v>12</v>
      </c>
      <c r="F2420" s="2" t="s">
        <v>0</v>
      </c>
      <c r="G2420" s="2" t="str">
        <f>"02"</f>
        <v>02</v>
      </c>
      <c r="H2420" s="3">
        <v>552</v>
      </c>
    </row>
    <row r="2421" spans="1:8" x14ac:dyDescent="0.25">
      <c r="A2421" s="2" t="str">
        <f>"00066155"</f>
        <v>00066155</v>
      </c>
      <c r="B2421" s="2" t="str">
        <f t="shared" si="119"/>
        <v>SG</v>
      </c>
      <c r="C2421" s="4" t="s">
        <v>1650</v>
      </c>
      <c r="D2421" s="4" t="s">
        <v>0</v>
      </c>
      <c r="E2421" s="4" t="s">
        <v>12</v>
      </c>
      <c r="F2421" s="2" t="s">
        <v>0</v>
      </c>
      <c r="G2421" s="2" t="str">
        <f>"02"</f>
        <v>02</v>
      </c>
      <c r="H2421" s="3">
        <v>552</v>
      </c>
    </row>
    <row r="2422" spans="1:8" x14ac:dyDescent="0.25">
      <c r="A2422" s="2" t="str">
        <f>"00066160"</f>
        <v>00066160</v>
      </c>
      <c r="B2422" s="2" t="str">
        <f t="shared" si="119"/>
        <v>SG</v>
      </c>
      <c r="C2422" s="4" t="s">
        <v>1650</v>
      </c>
      <c r="D2422" s="4" t="s">
        <v>0</v>
      </c>
      <c r="E2422" s="4" t="s">
        <v>12</v>
      </c>
      <c r="F2422" s="2" t="s">
        <v>0</v>
      </c>
      <c r="G2422" s="2" t="str">
        <f>"02"</f>
        <v>02</v>
      </c>
      <c r="H2422" s="3">
        <v>552</v>
      </c>
    </row>
    <row r="2423" spans="1:8" x14ac:dyDescent="0.25">
      <c r="A2423" s="2" t="str">
        <f>"00066170"</f>
        <v>00066170</v>
      </c>
      <c r="B2423" s="2" t="str">
        <f t="shared" si="119"/>
        <v>SG</v>
      </c>
      <c r="C2423" s="4" t="s">
        <v>1650</v>
      </c>
      <c r="D2423" s="4" t="s">
        <v>0</v>
      </c>
      <c r="E2423" s="4" t="s">
        <v>12</v>
      </c>
      <c r="F2423" s="2" t="s">
        <v>0</v>
      </c>
      <c r="G2423" s="2" t="str">
        <f>"02"</f>
        <v>02</v>
      </c>
      <c r="H2423" s="3">
        <v>552</v>
      </c>
    </row>
    <row r="2424" spans="1:8" x14ac:dyDescent="0.25">
      <c r="A2424" s="2" t="str">
        <f>"00066172"</f>
        <v>00066172</v>
      </c>
      <c r="B2424" s="2" t="str">
        <f t="shared" si="119"/>
        <v>SG</v>
      </c>
      <c r="C2424" s="4" t="s">
        <v>1644</v>
      </c>
      <c r="D2424" s="4" t="s">
        <v>0</v>
      </c>
      <c r="E2424" s="4" t="s">
        <v>12</v>
      </c>
      <c r="F2424" s="2" t="s">
        <v>0</v>
      </c>
      <c r="G2424" s="2" t="str">
        <f>"02"</f>
        <v>02</v>
      </c>
      <c r="H2424" s="3">
        <v>552</v>
      </c>
    </row>
    <row r="2425" spans="1:8" x14ac:dyDescent="0.25">
      <c r="A2425" s="2" t="str">
        <f>"00066180"</f>
        <v>00066180</v>
      </c>
      <c r="B2425" s="2" t="str">
        <f t="shared" si="119"/>
        <v>SG</v>
      </c>
      <c r="C2425" s="4" t="s">
        <v>1651</v>
      </c>
      <c r="D2425" s="4" t="s">
        <v>0</v>
      </c>
      <c r="E2425" s="4" t="s">
        <v>12</v>
      </c>
      <c r="F2425" s="2" t="s">
        <v>0</v>
      </c>
      <c r="G2425" s="2" t="str">
        <f>"06"</f>
        <v>06</v>
      </c>
      <c r="H2425" s="3">
        <v>1000</v>
      </c>
    </row>
    <row r="2426" spans="1:8" x14ac:dyDescent="0.25">
      <c r="A2426" s="2" t="str">
        <f>"00066185"</f>
        <v>00066185</v>
      </c>
      <c r="B2426" s="2" t="str">
        <f t="shared" si="119"/>
        <v>SG</v>
      </c>
      <c r="C2426" s="4" t="s">
        <v>1652</v>
      </c>
      <c r="D2426" s="4" t="s">
        <v>0</v>
      </c>
      <c r="E2426" s="4" t="s">
        <v>12</v>
      </c>
      <c r="F2426" s="2" t="s">
        <v>0</v>
      </c>
      <c r="G2426" s="2" t="str">
        <f>"02"</f>
        <v>02</v>
      </c>
      <c r="H2426" s="3">
        <v>552</v>
      </c>
    </row>
    <row r="2427" spans="1:8" x14ac:dyDescent="0.25">
      <c r="A2427" s="2" t="str">
        <f>"00066225"</f>
        <v>00066225</v>
      </c>
      <c r="B2427" s="2" t="str">
        <f t="shared" si="119"/>
        <v>SG</v>
      </c>
      <c r="C2427" s="4" t="s">
        <v>1653</v>
      </c>
      <c r="D2427" s="4" t="s">
        <v>0</v>
      </c>
      <c r="E2427" s="4" t="s">
        <v>12</v>
      </c>
      <c r="F2427" s="2" t="s">
        <v>0</v>
      </c>
      <c r="G2427" s="2" t="str">
        <f>"02"</f>
        <v>02</v>
      </c>
      <c r="H2427" s="3">
        <v>552</v>
      </c>
    </row>
    <row r="2428" spans="1:8" ht="29.25" x14ac:dyDescent="0.25">
      <c r="A2428" s="2" t="str">
        <f>"00066250"</f>
        <v>00066250</v>
      </c>
      <c r="B2428" s="2" t="str">
        <f t="shared" si="119"/>
        <v>SG</v>
      </c>
      <c r="C2428" s="4" t="s">
        <v>1654</v>
      </c>
      <c r="D2428" s="4" t="s">
        <v>0</v>
      </c>
      <c r="E2428" s="4" t="s">
        <v>12</v>
      </c>
      <c r="F2428" s="2" t="s">
        <v>0</v>
      </c>
      <c r="G2428" s="2" t="str">
        <f>"02"</f>
        <v>02</v>
      </c>
      <c r="H2428" s="3">
        <v>552</v>
      </c>
    </row>
    <row r="2429" spans="1:8" x14ac:dyDescent="0.25">
      <c r="A2429" s="2" t="str">
        <f>"00066500"</f>
        <v>00066500</v>
      </c>
      <c r="B2429" s="2" t="str">
        <f t="shared" si="119"/>
        <v>SG</v>
      </c>
      <c r="C2429" s="4" t="s">
        <v>1655</v>
      </c>
      <c r="D2429" s="4" t="s">
        <v>0</v>
      </c>
      <c r="E2429" s="4" t="s">
        <v>12</v>
      </c>
      <c r="F2429" s="2" t="s">
        <v>0</v>
      </c>
      <c r="G2429" s="2" t="str">
        <f>"01"</f>
        <v>01</v>
      </c>
      <c r="H2429" s="3">
        <v>413</v>
      </c>
    </row>
    <row r="2430" spans="1:8" x14ac:dyDescent="0.25">
      <c r="A2430" s="2" t="str">
        <f>"00066505"</f>
        <v>00066505</v>
      </c>
      <c r="B2430" s="2" t="str">
        <f t="shared" si="119"/>
        <v>SG</v>
      </c>
      <c r="C2430" s="4" t="s">
        <v>1655</v>
      </c>
      <c r="D2430" s="4" t="s">
        <v>0</v>
      </c>
      <c r="E2430" s="4" t="s">
        <v>12</v>
      </c>
      <c r="F2430" s="2" t="s">
        <v>0</v>
      </c>
      <c r="G2430" s="2" t="str">
        <f>"01"</f>
        <v>01</v>
      </c>
      <c r="H2430" s="3">
        <v>413</v>
      </c>
    </row>
    <row r="2431" spans="1:8" x14ac:dyDescent="0.25">
      <c r="A2431" s="2" t="str">
        <f>"00066600"</f>
        <v>00066600</v>
      </c>
      <c r="B2431" s="2" t="str">
        <f t="shared" si="119"/>
        <v>SG</v>
      </c>
      <c r="C2431" s="4" t="s">
        <v>1656</v>
      </c>
      <c r="D2431" s="4" t="s">
        <v>0</v>
      </c>
      <c r="E2431" s="4" t="s">
        <v>12</v>
      </c>
      <c r="F2431" s="2" t="s">
        <v>0</v>
      </c>
      <c r="G2431" s="2" t="str">
        <f>"02"</f>
        <v>02</v>
      </c>
      <c r="H2431" s="3">
        <v>552</v>
      </c>
    </row>
    <row r="2432" spans="1:8" x14ac:dyDescent="0.25">
      <c r="A2432" s="2" t="str">
        <f>"00066605"</f>
        <v>00066605</v>
      </c>
      <c r="B2432" s="2" t="str">
        <f t="shared" si="119"/>
        <v>SG</v>
      </c>
      <c r="C2432" s="4" t="s">
        <v>1657</v>
      </c>
      <c r="D2432" s="4" t="s">
        <v>0</v>
      </c>
      <c r="E2432" s="4" t="s">
        <v>12</v>
      </c>
      <c r="F2432" s="2" t="s">
        <v>0</v>
      </c>
      <c r="G2432" s="2" t="str">
        <f>"06"</f>
        <v>06</v>
      </c>
      <c r="H2432" s="3">
        <v>1000</v>
      </c>
    </row>
    <row r="2433" spans="1:8" x14ac:dyDescent="0.25">
      <c r="A2433" s="2" t="str">
        <f>"00066625"</f>
        <v>00066625</v>
      </c>
      <c r="B2433" s="2" t="str">
        <f t="shared" si="119"/>
        <v>SG</v>
      </c>
      <c r="C2433" s="4" t="s">
        <v>1657</v>
      </c>
      <c r="D2433" s="4" t="s">
        <v>0</v>
      </c>
      <c r="E2433" s="4" t="s">
        <v>12</v>
      </c>
      <c r="F2433" s="2" t="s">
        <v>0</v>
      </c>
      <c r="G2433" s="2" t="str">
        <f>"01"</f>
        <v>01</v>
      </c>
      <c r="H2433" s="3">
        <v>413</v>
      </c>
    </row>
    <row r="2434" spans="1:8" x14ac:dyDescent="0.25">
      <c r="A2434" s="2" t="str">
        <f>"00066630"</f>
        <v>00066630</v>
      </c>
      <c r="B2434" s="2" t="str">
        <f t="shared" si="119"/>
        <v>SG</v>
      </c>
      <c r="C2434" s="4" t="s">
        <v>1657</v>
      </c>
      <c r="D2434" s="4" t="s">
        <v>0</v>
      </c>
      <c r="E2434" s="4" t="s">
        <v>12</v>
      </c>
      <c r="F2434" s="2" t="s">
        <v>0</v>
      </c>
      <c r="G2434" s="2" t="str">
        <f>"01"</f>
        <v>01</v>
      </c>
      <c r="H2434" s="3">
        <v>413</v>
      </c>
    </row>
    <row r="2435" spans="1:8" x14ac:dyDescent="0.25">
      <c r="A2435" s="2" t="str">
        <f>"00066635"</f>
        <v>00066635</v>
      </c>
      <c r="B2435" s="2" t="str">
        <f t="shared" si="119"/>
        <v>SG</v>
      </c>
      <c r="C2435" s="4" t="s">
        <v>1657</v>
      </c>
      <c r="D2435" s="4" t="s">
        <v>0</v>
      </c>
      <c r="E2435" s="4" t="s">
        <v>12</v>
      </c>
      <c r="F2435" s="2" t="s">
        <v>0</v>
      </c>
      <c r="G2435" s="2" t="str">
        <f>"02"</f>
        <v>02</v>
      </c>
      <c r="H2435" s="3">
        <v>552</v>
      </c>
    </row>
    <row r="2436" spans="1:8" x14ac:dyDescent="0.25">
      <c r="A2436" s="2" t="str">
        <f>"00066680"</f>
        <v>00066680</v>
      </c>
      <c r="B2436" s="2" t="str">
        <f t="shared" si="119"/>
        <v>SG</v>
      </c>
      <c r="C2436" s="4" t="s">
        <v>1658</v>
      </c>
      <c r="D2436" s="4" t="s">
        <v>0</v>
      </c>
      <c r="E2436" s="4" t="s">
        <v>12</v>
      </c>
      <c r="F2436" s="2" t="s">
        <v>0</v>
      </c>
      <c r="G2436" s="2" t="str">
        <f>"02"</f>
        <v>02</v>
      </c>
      <c r="H2436" s="3">
        <v>552</v>
      </c>
    </row>
    <row r="2437" spans="1:8" x14ac:dyDescent="0.25">
      <c r="A2437" s="2" t="str">
        <f>"00066682"</f>
        <v>00066682</v>
      </c>
      <c r="B2437" s="2" t="str">
        <f t="shared" si="119"/>
        <v>SG</v>
      </c>
      <c r="C2437" s="4" t="s">
        <v>1658</v>
      </c>
      <c r="D2437" s="4" t="s">
        <v>0</v>
      </c>
      <c r="E2437" s="4" t="s">
        <v>12</v>
      </c>
      <c r="F2437" s="2" t="s">
        <v>0</v>
      </c>
      <c r="G2437" s="2" t="str">
        <f>"02"</f>
        <v>02</v>
      </c>
      <c r="H2437" s="3">
        <v>552</v>
      </c>
    </row>
    <row r="2438" spans="1:8" ht="29.25" x14ac:dyDescent="0.25">
      <c r="A2438" s="2" t="str">
        <f>"00066700"</f>
        <v>00066700</v>
      </c>
      <c r="B2438" s="2" t="str">
        <f t="shared" si="119"/>
        <v>SG</v>
      </c>
      <c r="C2438" s="4" t="s">
        <v>1659</v>
      </c>
      <c r="D2438" s="4" t="s">
        <v>0</v>
      </c>
      <c r="E2438" s="4" t="s">
        <v>12</v>
      </c>
      <c r="F2438" s="2" t="s">
        <v>0</v>
      </c>
      <c r="G2438" s="2" t="str">
        <f>"01"</f>
        <v>01</v>
      </c>
      <c r="H2438" s="3">
        <v>413</v>
      </c>
    </row>
    <row r="2439" spans="1:8" ht="29.25" x14ac:dyDescent="0.25">
      <c r="A2439" s="2" t="str">
        <f>"00066710"</f>
        <v>00066710</v>
      </c>
      <c r="B2439" s="2" t="str">
        <f t="shared" si="119"/>
        <v>SG</v>
      </c>
      <c r="C2439" s="4" t="s">
        <v>1660</v>
      </c>
      <c r="D2439" s="4" t="s">
        <v>0</v>
      </c>
      <c r="E2439" s="4" t="s">
        <v>12</v>
      </c>
      <c r="F2439" s="2" t="s">
        <v>0</v>
      </c>
      <c r="G2439" s="2" t="str">
        <f>"01"</f>
        <v>01</v>
      </c>
      <c r="H2439" s="3">
        <v>413</v>
      </c>
    </row>
    <row r="2440" spans="1:8" ht="29.25" x14ac:dyDescent="0.25">
      <c r="A2440" s="2" t="str">
        <f>"00066711"</f>
        <v>00066711</v>
      </c>
      <c r="B2440" s="2" t="str">
        <f t="shared" si="119"/>
        <v>SG</v>
      </c>
      <c r="C2440" s="4" t="s">
        <v>1661</v>
      </c>
      <c r="D2440" s="4" t="s">
        <v>0</v>
      </c>
      <c r="E2440" s="4" t="s">
        <v>12</v>
      </c>
      <c r="F2440" s="2" t="s">
        <v>0</v>
      </c>
      <c r="G2440" s="2" t="str">
        <f>"02"</f>
        <v>02</v>
      </c>
      <c r="H2440" s="3">
        <v>552</v>
      </c>
    </row>
    <row r="2441" spans="1:8" ht="29.25" x14ac:dyDescent="0.25">
      <c r="A2441" s="2" t="str">
        <f>"00066720"</f>
        <v>00066720</v>
      </c>
      <c r="B2441" s="2" t="str">
        <f t="shared" si="119"/>
        <v>SG</v>
      </c>
      <c r="C2441" s="4" t="s">
        <v>1659</v>
      </c>
      <c r="D2441" s="4" t="s">
        <v>0</v>
      </c>
      <c r="E2441" s="4" t="s">
        <v>12</v>
      </c>
      <c r="F2441" s="2" t="s">
        <v>0</v>
      </c>
      <c r="G2441" s="2" t="str">
        <f>"01"</f>
        <v>01</v>
      </c>
      <c r="H2441" s="3">
        <v>413</v>
      </c>
    </row>
    <row r="2442" spans="1:8" ht="29.25" x14ac:dyDescent="0.25">
      <c r="A2442" s="2" t="str">
        <f>"00066740"</f>
        <v>00066740</v>
      </c>
      <c r="B2442" s="2" t="str">
        <f t="shared" si="119"/>
        <v>SG</v>
      </c>
      <c r="C2442" s="4" t="s">
        <v>1659</v>
      </c>
      <c r="D2442" s="4" t="s">
        <v>0</v>
      </c>
      <c r="E2442" s="4" t="s">
        <v>12</v>
      </c>
      <c r="F2442" s="2" t="s">
        <v>0</v>
      </c>
      <c r="G2442" s="2" t="str">
        <f>"01"</f>
        <v>01</v>
      </c>
      <c r="H2442" s="3">
        <v>413</v>
      </c>
    </row>
    <row r="2443" spans="1:8" ht="114.75" x14ac:dyDescent="0.25">
      <c r="A2443" s="2" t="str">
        <f>"00066820"</f>
        <v>00066820</v>
      </c>
      <c r="B2443" s="2" t="str">
        <f t="shared" si="119"/>
        <v>SG</v>
      </c>
      <c r="C2443" s="4" t="s">
        <v>1662</v>
      </c>
      <c r="D2443" s="4" t="s">
        <v>0</v>
      </c>
      <c r="E2443" s="4" t="s">
        <v>12</v>
      </c>
      <c r="F2443" s="2" t="s">
        <v>0</v>
      </c>
      <c r="G2443" s="2" t="str">
        <f>"01"</f>
        <v>01</v>
      </c>
      <c r="H2443" s="3">
        <v>413</v>
      </c>
    </row>
    <row r="2444" spans="1:8" ht="29.25" x14ac:dyDescent="0.25">
      <c r="A2444" s="2" t="str">
        <f>"00066821"</f>
        <v>00066821</v>
      </c>
      <c r="B2444" s="2" t="str">
        <f t="shared" si="119"/>
        <v>SG</v>
      </c>
      <c r="C2444" s="4" t="s">
        <v>1663</v>
      </c>
      <c r="D2444" s="4" t="s">
        <v>0</v>
      </c>
      <c r="E2444" s="4" t="s">
        <v>12</v>
      </c>
      <c r="F2444" s="2" t="s">
        <v>0</v>
      </c>
      <c r="G2444" s="2" t="str">
        <f>"01"</f>
        <v>01</v>
      </c>
      <c r="H2444" s="3">
        <v>413</v>
      </c>
    </row>
    <row r="2445" spans="1:8" ht="29.25" x14ac:dyDescent="0.25">
      <c r="A2445" s="2" t="str">
        <f>"00066825"</f>
        <v>00066825</v>
      </c>
      <c r="B2445" s="2" t="str">
        <f t="shared" ref="B2445:B2508" si="121">"SG"</f>
        <v>SG</v>
      </c>
      <c r="C2445" s="4" t="s">
        <v>1664</v>
      </c>
      <c r="D2445" s="4" t="s">
        <v>0</v>
      </c>
      <c r="E2445" s="4" t="s">
        <v>12</v>
      </c>
      <c r="F2445" s="2" t="s">
        <v>0</v>
      </c>
      <c r="G2445" s="2" t="str">
        <f>"02"</f>
        <v>02</v>
      </c>
      <c r="H2445" s="3">
        <v>552</v>
      </c>
    </row>
    <row r="2446" spans="1:8" x14ac:dyDescent="0.25">
      <c r="A2446" s="2" t="str">
        <f>"00066830"</f>
        <v>00066830</v>
      </c>
      <c r="B2446" s="2" t="str">
        <f t="shared" si="121"/>
        <v>SG</v>
      </c>
      <c r="C2446" s="4" t="s">
        <v>1665</v>
      </c>
      <c r="D2446" s="4" t="s">
        <v>0</v>
      </c>
      <c r="E2446" s="4" t="s">
        <v>12</v>
      </c>
      <c r="F2446" s="2" t="s">
        <v>0</v>
      </c>
      <c r="G2446" s="2" t="str">
        <f>"02"</f>
        <v>02</v>
      </c>
      <c r="H2446" s="3">
        <v>552</v>
      </c>
    </row>
    <row r="2447" spans="1:8" ht="29.25" x14ac:dyDescent="0.25">
      <c r="A2447" s="2" t="str">
        <f>"00066840"</f>
        <v>00066840</v>
      </c>
      <c r="B2447" s="2" t="str">
        <f t="shared" si="121"/>
        <v>SG</v>
      </c>
      <c r="C2447" s="4" t="s">
        <v>1666</v>
      </c>
      <c r="D2447" s="4" t="s">
        <v>0</v>
      </c>
      <c r="E2447" s="4" t="s">
        <v>12</v>
      </c>
      <c r="F2447" s="2" t="s">
        <v>0</v>
      </c>
      <c r="G2447" s="2" t="str">
        <f>"02"</f>
        <v>02</v>
      </c>
      <c r="H2447" s="3">
        <v>552</v>
      </c>
    </row>
    <row r="2448" spans="1:8" ht="29.25" x14ac:dyDescent="0.25">
      <c r="A2448" s="2" t="str">
        <f>"00066850"</f>
        <v>00066850</v>
      </c>
      <c r="B2448" s="2" t="str">
        <f t="shared" si="121"/>
        <v>SG</v>
      </c>
      <c r="C2448" s="4" t="s">
        <v>1666</v>
      </c>
      <c r="D2448" s="4" t="s">
        <v>0</v>
      </c>
      <c r="E2448" s="4" t="s">
        <v>12</v>
      </c>
      <c r="F2448" s="2" t="s">
        <v>0</v>
      </c>
      <c r="G2448" s="2" t="str">
        <f>"02"</f>
        <v>02</v>
      </c>
      <c r="H2448" s="3">
        <v>552</v>
      </c>
    </row>
    <row r="2449" spans="1:8" ht="29.25" x14ac:dyDescent="0.25">
      <c r="A2449" s="2" t="str">
        <f>"00066852"</f>
        <v>00066852</v>
      </c>
      <c r="B2449" s="2" t="str">
        <f t="shared" si="121"/>
        <v>SG</v>
      </c>
      <c r="C2449" s="4" t="s">
        <v>1666</v>
      </c>
      <c r="D2449" s="4" t="s">
        <v>0</v>
      </c>
      <c r="E2449" s="4" t="s">
        <v>12</v>
      </c>
      <c r="F2449" s="2" t="s">
        <v>0</v>
      </c>
      <c r="G2449" s="2" t="str">
        <f>"06"</f>
        <v>06</v>
      </c>
      <c r="H2449" s="3">
        <v>1000</v>
      </c>
    </row>
    <row r="2450" spans="1:8" x14ac:dyDescent="0.25">
      <c r="A2450" s="2" t="str">
        <f>"00066920"</f>
        <v>00066920</v>
      </c>
      <c r="B2450" s="2" t="str">
        <f t="shared" si="121"/>
        <v>SG</v>
      </c>
      <c r="C2450" s="4" t="s">
        <v>1667</v>
      </c>
      <c r="D2450" s="4" t="s">
        <v>0</v>
      </c>
      <c r="E2450" s="4" t="s">
        <v>12</v>
      </c>
      <c r="F2450" s="2" t="s">
        <v>0</v>
      </c>
      <c r="G2450" s="2" t="str">
        <f>"02"</f>
        <v>02</v>
      </c>
      <c r="H2450" s="3">
        <v>552</v>
      </c>
    </row>
    <row r="2451" spans="1:8" x14ac:dyDescent="0.25">
      <c r="A2451" s="2" t="str">
        <f>"00066930"</f>
        <v>00066930</v>
      </c>
      <c r="B2451" s="2" t="str">
        <f t="shared" si="121"/>
        <v>SG</v>
      </c>
      <c r="C2451" s="4" t="s">
        <v>1667</v>
      </c>
      <c r="D2451" s="4" t="s">
        <v>0</v>
      </c>
      <c r="E2451" s="4" t="s">
        <v>12</v>
      </c>
      <c r="F2451" s="2" t="s">
        <v>0</v>
      </c>
      <c r="G2451" s="2" t="str">
        <f>"02"</f>
        <v>02</v>
      </c>
      <c r="H2451" s="3">
        <v>552</v>
      </c>
    </row>
    <row r="2452" spans="1:8" x14ac:dyDescent="0.25">
      <c r="A2452" s="2" t="str">
        <f>"00066940"</f>
        <v>00066940</v>
      </c>
      <c r="B2452" s="2" t="str">
        <f t="shared" si="121"/>
        <v>SG</v>
      </c>
      <c r="C2452" s="4" t="s">
        <v>1667</v>
      </c>
      <c r="D2452" s="4" t="s">
        <v>0</v>
      </c>
      <c r="E2452" s="4" t="s">
        <v>12</v>
      </c>
      <c r="F2452" s="2" t="s">
        <v>0</v>
      </c>
      <c r="G2452" s="2" t="str">
        <f>"01"</f>
        <v>01</v>
      </c>
      <c r="H2452" s="3">
        <v>413</v>
      </c>
    </row>
    <row r="2453" spans="1:8" ht="29.25" x14ac:dyDescent="0.25">
      <c r="A2453" s="2" t="str">
        <f>"00066982"</f>
        <v>00066982</v>
      </c>
      <c r="B2453" s="2" t="str">
        <f t="shared" si="121"/>
        <v>SG</v>
      </c>
      <c r="C2453" s="4" t="s">
        <v>1668</v>
      </c>
      <c r="D2453" s="4" t="s">
        <v>0</v>
      </c>
      <c r="E2453" s="4" t="s">
        <v>12</v>
      </c>
      <c r="F2453" s="2" t="s">
        <v>0</v>
      </c>
      <c r="G2453" s="2" t="str">
        <f t="shared" ref="G2453:G2462" si="122">"06"</f>
        <v>06</v>
      </c>
      <c r="H2453" s="3">
        <v>1000</v>
      </c>
    </row>
    <row r="2454" spans="1:8" ht="29.25" x14ac:dyDescent="0.25">
      <c r="A2454" s="2" t="str">
        <f>"00066983"</f>
        <v>00066983</v>
      </c>
      <c r="B2454" s="2" t="str">
        <f t="shared" si="121"/>
        <v>SG</v>
      </c>
      <c r="C2454" s="4" t="s">
        <v>1669</v>
      </c>
      <c r="D2454" s="4" t="s">
        <v>0</v>
      </c>
      <c r="E2454" s="4" t="s">
        <v>12</v>
      </c>
      <c r="F2454" s="2" t="s">
        <v>0</v>
      </c>
      <c r="G2454" s="2" t="str">
        <f t="shared" si="122"/>
        <v>06</v>
      </c>
      <c r="H2454" s="3">
        <v>1000</v>
      </c>
    </row>
    <row r="2455" spans="1:8" ht="29.25" x14ac:dyDescent="0.25">
      <c r="A2455" s="2" t="str">
        <f>"00066984"</f>
        <v>00066984</v>
      </c>
      <c r="B2455" s="2" t="str">
        <f t="shared" si="121"/>
        <v>SG</v>
      </c>
      <c r="C2455" s="4" t="s">
        <v>1669</v>
      </c>
      <c r="D2455" s="4" t="s">
        <v>0</v>
      </c>
      <c r="E2455" s="4" t="s">
        <v>12</v>
      </c>
      <c r="F2455" s="2" t="s">
        <v>0</v>
      </c>
      <c r="G2455" s="2" t="str">
        <f t="shared" si="122"/>
        <v>06</v>
      </c>
      <c r="H2455" s="3">
        <v>1000</v>
      </c>
    </row>
    <row r="2456" spans="1:8" x14ac:dyDescent="0.25">
      <c r="A2456" s="2" t="str">
        <f>"00066985"</f>
        <v>00066985</v>
      </c>
      <c r="B2456" s="2" t="str">
        <f t="shared" si="121"/>
        <v>SG</v>
      </c>
      <c r="C2456" s="4" t="s">
        <v>1670</v>
      </c>
      <c r="D2456" s="4" t="s">
        <v>0</v>
      </c>
      <c r="E2456" s="4" t="s">
        <v>12</v>
      </c>
      <c r="F2456" s="2" t="s">
        <v>0</v>
      </c>
      <c r="G2456" s="2" t="str">
        <f t="shared" si="122"/>
        <v>06</v>
      </c>
      <c r="H2456" s="3">
        <v>1000</v>
      </c>
    </row>
    <row r="2457" spans="1:8" ht="29.25" x14ac:dyDescent="0.25">
      <c r="A2457" s="2" t="str">
        <f>"00066986"</f>
        <v>00066986</v>
      </c>
      <c r="B2457" s="2" t="str">
        <f t="shared" si="121"/>
        <v>SG</v>
      </c>
      <c r="C2457" s="4" t="s">
        <v>1671</v>
      </c>
      <c r="D2457" s="4" t="s">
        <v>0</v>
      </c>
      <c r="E2457" s="4" t="s">
        <v>12</v>
      </c>
      <c r="F2457" s="2" t="s">
        <v>0</v>
      </c>
      <c r="G2457" s="2" t="str">
        <f t="shared" si="122"/>
        <v>06</v>
      </c>
      <c r="H2457" s="3">
        <v>1000</v>
      </c>
    </row>
    <row r="2458" spans="1:8" ht="29.25" x14ac:dyDescent="0.25">
      <c r="A2458" s="2" t="str">
        <f>"00067005"</f>
        <v>00067005</v>
      </c>
      <c r="B2458" s="2" t="str">
        <f t="shared" si="121"/>
        <v>SG</v>
      </c>
      <c r="C2458" s="4" t="s">
        <v>1672</v>
      </c>
      <c r="D2458" s="4" t="s">
        <v>0</v>
      </c>
      <c r="E2458" s="4" t="s">
        <v>12</v>
      </c>
      <c r="F2458" s="2" t="s">
        <v>0</v>
      </c>
      <c r="G2458" s="2" t="str">
        <f t="shared" si="122"/>
        <v>06</v>
      </c>
      <c r="H2458" s="3">
        <v>1000</v>
      </c>
    </row>
    <row r="2459" spans="1:8" ht="29.25" x14ac:dyDescent="0.25">
      <c r="A2459" s="2" t="str">
        <f>"00067010"</f>
        <v>00067010</v>
      </c>
      <c r="B2459" s="2" t="str">
        <f t="shared" si="121"/>
        <v>SG</v>
      </c>
      <c r="C2459" s="4" t="s">
        <v>1672</v>
      </c>
      <c r="D2459" s="4" t="s">
        <v>0</v>
      </c>
      <c r="E2459" s="4" t="s">
        <v>12</v>
      </c>
      <c r="F2459" s="2" t="s">
        <v>0</v>
      </c>
      <c r="G2459" s="2" t="str">
        <f t="shared" si="122"/>
        <v>06</v>
      </c>
      <c r="H2459" s="3">
        <v>1000</v>
      </c>
    </row>
    <row r="2460" spans="1:8" x14ac:dyDescent="0.25">
      <c r="A2460" s="2" t="str">
        <f>"00067015"</f>
        <v>00067015</v>
      </c>
      <c r="B2460" s="2" t="str">
        <f t="shared" si="121"/>
        <v>SG</v>
      </c>
      <c r="C2460" s="4" t="s">
        <v>1673</v>
      </c>
      <c r="D2460" s="4" t="s">
        <v>0</v>
      </c>
      <c r="E2460" s="4" t="s">
        <v>12</v>
      </c>
      <c r="F2460" s="2" t="s">
        <v>0</v>
      </c>
      <c r="G2460" s="2" t="str">
        <f t="shared" si="122"/>
        <v>06</v>
      </c>
      <c r="H2460" s="3">
        <v>1000</v>
      </c>
    </row>
    <row r="2461" spans="1:8" x14ac:dyDescent="0.25">
      <c r="A2461" s="2" t="str">
        <f>"00067025"</f>
        <v>00067025</v>
      </c>
      <c r="B2461" s="2" t="str">
        <f t="shared" si="121"/>
        <v>SG</v>
      </c>
      <c r="C2461" s="4" t="s">
        <v>1674</v>
      </c>
      <c r="D2461" s="4" t="s">
        <v>0</v>
      </c>
      <c r="E2461" s="4" t="s">
        <v>12</v>
      </c>
      <c r="F2461" s="2" t="s">
        <v>0</v>
      </c>
      <c r="G2461" s="2" t="str">
        <f t="shared" si="122"/>
        <v>06</v>
      </c>
      <c r="H2461" s="3">
        <v>1000</v>
      </c>
    </row>
    <row r="2462" spans="1:8" x14ac:dyDescent="0.25">
      <c r="A2462" s="2" t="str">
        <f>"00067027"</f>
        <v>00067027</v>
      </c>
      <c r="B2462" s="2" t="str">
        <f t="shared" si="121"/>
        <v>SG</v>
      </c>
      <c r="C2462" s="4" t="s">
        <v>1675</v>
      </c>
      <c r="D2462" s="4" t="s">
        <v>0</v>
      </c>
      <c r="E2462" s="4" t="s">
        <v>12</v>
      </c>
      <c r="F2462" s="2" t="s">
        <v>0</v>
      </c>
      <c r="G2462" s="2" t="str">
        <f t="shared" si="122"/>
        <v>06</v>
      </c>
      <c r="H2462" s="3">
        <v>1000</v>
      </c>
    </row>
    <row r="2463" spans="1:8" x14ac:dyDescent="0.25">
      <c r="A2463" s="2" t="str">
        <f>"00067030"</f>
        <v>00067030</v>
      </c>
      <c r="B2463" s="2" t="str">
        <f t="shared" si="121"/>
        <v>SG</v>
      </c>
      <c r="C2463" s="4" t="s">
        <v>1676</v>
      </c>
      <c r="D2463" s="4" t="s">
        <v>0</v>
      </c>
      <c r="E2463" s="4" t="s">
        <v>12</v>
      </c>
      <c r="F2463" s="2" t="s">
        <v>0</v>
      </c>
      <c r="G2463" s="2" t="str">
        <f>"02"</f>
        <v>02</v>
      </c>
      <c r="H2463" s="3">
        <v>552</v>
      </c>
    </row>
    <row r="2464" spans="1:8" ht="29.25" x14ac:dyDescent="0.25">
      <c r="A2464" s="2" t="str">
        <f>"00067031"</f>
        <v>00067031</v>
      </c>
      <c r="B2464" s="2" t="str">
        <f t="shared" si="121"/>
        <v>SG</v>
      </c>
      <c r="C2464" s="4" t="s">
        <v>1677</v>
      </c>
      <c r="D2464" s="4" t="s">
        <v>0</v>
      </c>
      <c r="E2464" s="4" t="s">
        <v>12</v>
      </c>
      <c r="F2464" s="2" t="s">
        <v>0</v>
      </c>
      <c r="G2464" s="2" t="str">
        <f>"01"</f>
        <v>01</v>
      </c>
      <c r="H2464" s="3">
        <v>413</v>
      </c>
    </row>
    <row r="2465" spans="1:8" ht="29.25" x14ac:dyDescent="0.25">
      <c r="A2465" s="2" t="str">
        <f>"00067036"</f>
        <v>00067036</v>
      </c>
      <c r="B2465" s="2" t="str">
        <f t="shared" si="121"/>
        <v>SG</v>
      </c>
      <c r="C2465" s="4" t="s">
        <v>1678</v>
      </c>
      <c r="D2465" s="4" t="s">
        <v>0</v>
      </c>
      <c r="E2465" s="4" t="s">
        <v>12</v>
      </c>
      <c r="F2465" s="2" t="s">
        <v>0</v>
      </c>
      <c r="G2465" s="2" t="str">
        <f t="shared" ref="G2465:G2470" si="123">"06"</f>
        <v>06</v>
      </c>
      <c r="H2465" s="3">
        <v>1000</v>
      </c>
    </row>
    <row r="2466" spans="1:8" ht="29.25" x14ac:dyDescent="0.25">
      <c r="A2466" s="2" t="str">
        <f>"00067039"</f>
        <v>00067039</v>
      </c>
      <c r="B2466" s="2" t="str">
        <f t="shared" si="121"/>
        <v>SG</v>
      </c>
      <c r="C2466" s="4" t="s">
        <v>1679</v>
      </c>
      <c r="D2466" s="4" t="s">
        <v>0</v>
      </c>
      <c r="E2466" s="4" t="s">
        <v>12</v>
      </c>
      <c r="F2466" s="2" t="s">
        <v>0</v>
      </c>
      <c r="G2466" s="2" t="str">
        <f t="shared" si="123"/>
        <v>06</v>
      </c>
      <c r="H2466" s="3">
        <v>1000</v>
      </c>
    </row>
    <row r="2467" spans="1:8" ht="29.25" x14ac:dyDescent="0.25">
      <c r="A2467" s="2" t="str">
        <f>"00067040"</f>
        <v>00067040</v>
      </c>
      <c r="B2467" s="2" t="str">
        <f t="shared" si="121"/>
        <v>SG</v>
      </c>
      <c r="C2467" s="4" t="s">
        <v>1679</v>
      </c>
      <c r="D2467" s="4" t="s">
        <v>0</v>
      </c>
      <c r="E2467" s="4" t="s">
        <v>12</v>
      </c>
      <c r="F2467" s="2" t="s">
        <v>0</v>
      </c>
      <c r="G2467" s="2" t="str">
        <f t="shared" si="123"/>
        <v>06</v>
      </c>
      <c r="H2467" s="3">
        <v>1000</v>
      </c>
    </row>
    <row r="2468" spans="1:8" ht="86.25" x14ac:dyDescent="0.25">
      <c r="A2468" s="2" t="str">
        <f>"00067041"</f>
        <v>00067041</v>
      </c>
      <c r="B2468" s="2" t="str">
        <f t="shared" si="121"/>
        <v>SG</v>
      </c>
      <c r="C2468" s="4" t="s">
        <v>1680</v>
      </c>
      <c r="D2468" s="4" t="s">
        <v>0</v>
      </c>
      <c r="E2468" s="4" t="s">
        <v>12</v>
      </c>
      <c r="F2468" s="2" t="s">
        <v>0</v>
      </c>
      <c r="G2468" s="2" t="str">
        <f t="shared" si="123"/>
        <v>06</v>
      </c>
      <c r="H2468" s="3">
        <v>1000</v>
      </c>
    </row>
    <row r="2469" spans="1:8" ht="100.5" x14ac:dyDescent="0.25">
      <c r="A2469" s="2" t="str">
        <f>"00067042"</f>
        <v>00067042</v>
      </c>
      <c r="B2469" s="2" t="str">
        <f t="shared" si="121"/>
        <v>SG</v>
      </c>
      <c r="C2469" s="4" t="s">
        <v>1681</v>
      </c>
      <c r="D2469" s="4" t="s">
        <v>0</v>
      </c>
      <c r="E2469" s="4" t="s">
        <v>12</v>
      </c>
      <c r="F2469" s="2" t="s">
        <v>0</v>
      </c>
      <c r="G2469" s="2" t="str">
        <f t="shared" si="123"/>
        <v>06</v>
      </c>
      <c r="H2469" s="3">
        <v>1000</v>
      </c>
    </row>
    <row r="2470" spans="1:8" ht="100.5" x14ac:dyDescent="0.25">
      <c r="A2470" s="2" t="str">
        <f>"00067043"</f>
        <v>00067043</v>
      </c>
      <c r="B2470" s="2" t="str">
        <f t="shared" si="121"/>
        <v>SG</v>
      </c>
      <c r="C2470" s="4" t="s">
        <v>1682</v>
      </c>
      <c r="D2470" s="4" t="s">
        <v>0</v>
      </c>
      <c r="E2470" s="4" t="s">
        <v>12</v>
      </c>
      <c r="F2470" s="2" t="s">
        <v>0</v>
      </c>
      <c r="G2470" s="2" t="str">
        <f t="shared" si="123"/>
        <v>06</v>
      </c>
      <c r="H2470" s="3">
        <v>1000</v>
      </c>
    </row>
    <row r="2471" spans="1:8" ht="43.5" x14ac:dyDescent="0.25">
      <c r="A2471" s="2" t="str">
        <f>"00067101"</f>
        <v>00067101</v>
      </c>
      <c r="B2471" s="2" t="str">
        <f t="shared" si="121"/>
        <v>SG</v>
      </c>
      <c r="C2471" s="4" t="s">
        <v>1683</v>
      </c>
      <c r="D2471" s="4" t="s">
        <v>0</v>
      </c>
      <c r="E2471" s="4" t="s">
        <v>12</v>
      </c>
      <c r="F2471" s="2" t="s">
        <v>0</v>
      </c>
      <c r="G2471" s="2" t="str">
        <f>"01"</f>
        <v>01</v>
      </c>
      <c r="H2471" s="3">
        <v>413</v>
      </c>
    </row>
    <row r="2472" spans="1:8" ht="43.5" x14ac:dyDescent="0.25">
      <c r="A2472" s="2" t="str">
        <f>"00067105"</f>
        <v>00067105</v>
      </c>
      <c r="B2472" s="2" t="str">
        <f t="shared" si="121"/>
        <v>SG</v>
      </c>
      <c r="C2472" s="4" t="s">
        <v>1683</v>
      </c>
      <c r="D2472" s="4" t="s">
        <v>0</v>
      </c>
      <c r="E2472" s="4" t="s">
        <v>12</v>
      </c>
      <c r="F2472" s="2" t="s">
        <v>0</v>
      </c>
      <c r="G2472" s="2" t="str">
        <f>"01"</f>
        <v>01</v>
      </c>
      <c r="H2472" s="3">
        <v>413</v>
      </c>
    </row>
    <row r="2473" spans="1:8" x14ac:dyDescent="0.25">
      <c r="A2473" s="2" t="str">
        <f>"00067107"</f>
        <v>00067107</v>
      </c>
      <c r="B2473" s="2" t="str">
        <f t="shared" si="121"/>
        <v>SG</v>
      </c>
      <c r="C2473" s="4" t="s">
        <v>1684</v>
      </c>
      <c r="D2473" s="4" t="s">
        <v>0</v>
      </c>
      <c r="E2473" s="4" t="s">
        <v>12</v>
      </c>
      <c r="F2473" s="2" t="s">
        <v>0</v>
      </c>
      <c r="G2473" s="2" t="str">
        <f>"06"</f>
        <v>06</v>
      </c>
      <c r="H2473" s="3">
        <v>1000</v>
      </c>
    </row>
    <row r="2474" spans="1:8" x14ac:dyDescent="0.25">
      <c r="A2474" s="2" t="str">
        <f>"00067108"</f>
        <v>00067108</v>
      </c>
      <c r="B2474" s="2" t="str">
        <f t="shared" si="121"/>
        <v>SG</v>
      </c>
      <c r="C2474" s="4" t="s">
        <v>1684</v>
      </c>
      <c r="D2474" s="4" t="s">
        <v>0</v>
      </c>
      <c r="E2474" s="4" t="s">
        <v>12</v>
      </c>
      <c r="F2474" s="2" t="s">
        <v>0</v>
      </c>
      <c r="G2474" s="2" t="str">
        <f>"06"</f>
        <v>06</v>
      </c>
      <c r="H2474" s="3">
        <v>1000</v>
      </c>
    </row>
    <row r="2475" spans="1:8" ht="43.5" x14ac:dyDescent="0.25">
      <c r="A2475" s="2" t="str">
        <f>"00067110"</f>
        <v>00067110</v>
      </c>
      <c r="B2475" s="2" t="str">
        <f t="shared" si="121"/>
        <v>SG</v>
      </c>
      <c r="C2475" s="4" t="s">
        <v>1685</v>
      </c>
      <c r="D2475" s="4" t="s">
        <v>0</v>
      </c>
      <c r="E2475" s="4" t="s">
        <v>12</v>
      </c>
      <c r="F2475" s="2" t="s">
        <v>0</v>
      </c>
      <c r="G2475" s="2" t="str">
        <f>"01"</f>
        <v>01</v>
      </c>
      <c r="H2475" s="3">
        <v>413</v>
      </c>
    </row>
    <row r="2476" spans="1:8" ht="114.75" x14ac:dyDescent="0.25">
      <c r="A2476" s="2" t="str">
        <f>"00067113"</f>
        <v>00067113</v>
      </c>
      <c r="B2476" s="2" t="str">
        <f t="shared" si="121"/>
        <v>SG</v>
      </c>
      <c r="C2476" s="4" t="s">
        <v>1686</v>
      </c>
      <c r="D2476" s="4" t="s">
        <v>0</v>
      </c>
      <c r="E2476" s="4" t="s">
        <v>12</v>
      </c>
      <c r="F2476" s="2" t="s">
        <v>0</v>
      </c>
      <c r="G2476" s="2" t="str">
        <f>"06"</f>
        <v>06</v>
      </c>
      <c r="H2476" s="3">
        <v>1000</v>
      </c>
    </row>
    <row r="2477" spans="1:8" ht="29.25" x14ac:dyDescent="0.25">
      <c r="A2477" s="2" t="str">
        <f>"00067115"</f>
        <v>00067115</v>
      </c>
      <c r="B2477" s="2" t="str">
        <f t="shared" si="121"/>
        <v>SG</v>
      </c>
      <c r="C2477" s="4" t="s">
        <v>1687</v>
      </c>
      <c r="D2477" s="4" t="s">
        <v>0</v>
      </c>
      <c r="E2477" s="4" t="s">
        <v>12</v>
      </c>
      <c r="F2477" s="2" t="s">
        <v>0</v>
      </c>
      <c r="G2477" s="2" t="str">
        <f>"02"</f>
        <v>02</v>
      </c>
      <c r="H2477" s="3">
        <v>552</v>
      </c>
    </row>
    <row r="2478" spans="1:8" ht="29.25" x14ac:dyDescent="0.25">
      <c r="A2478" s="2" t="str">
        <f>"00067120"</f>
        <v>00067120</v>
      </c>
      <c r="B2478" s="2" t="str">
        <f t="shared" si="121"/>
        <v>SG</v>
      </c>
      <c r="C2478" s="4" t="s">
        <v>1688</v>
      </c>
      <c r="D2478" s="4" t="s">
        <v>0</v>
      </c>
      <c r="E2478" s="4" t="s">
        <v>12</v>
      </c>
      <c r="F2478" s="2" t="s">
        <v>0</v>
      </c>
      <c r="G2478" s="2" t="str">
        <f>"02"</f>
        <v>02</v>
      </c>
      <c r="H2478" s="3">
        <v>552</v>
      </c>
    </row>
    <row r="2479" spans="1:8" ht="29.25" x14ac:dyDescent="0.25">
      <c r="A2479" s="2" t="str">
        <f>"00067121"</f>
        <v>00067121</v>
      </c>
      <c r="B2479" s="2" t="str">
        <f t="shared" si="121"/>
        <v>SG</v>
      </c>
      <c r="C2479" s="4" t="s">
        <v>1688</v>
      </c>
      <c r="D2479" s="4" t="s">
        <v>0</v>
      </c>
      <c r="E2479" s="4" t="s">
        <v>12</v>
      </c>
      <c r="F2479" s="2" t="s">
        <v>0</v>
      </c>
      <c r="G2479" s="2" t="str">
        <f>"06"</f>
        <v>06</v>
      </c>
      <c r="H2479" s="3">
        <v>1000</v>
      </c>
    </row>
    <row r="2480" spans="1:8" x14ac:dyDescent="0.25">
      <c r="A2480" s="2" t="str">
        <f>"00067141"</f>
        <v>00067141</v>
      </c>
      <c r="B2480" s="2" t="str">
        <f t="shared" si="121"/>
        <v>SG</v>
      </c>
      <c r="C2480" s="4" t="s">
        <v>1689</v>
      </c>
      <c r="D2480" s="4" t="s">
        <v>0</v>
      </c>
      <c r="E2480" s="4" t="s">
        <v>12</v>
      </c>
      <c r="F2480" s="2" t="s">
        <v>0</v>
      </c>
      <c r="G2480" s="2" t="str">
        <f>"02"</f>
        <v>02</v>
      </c>
      <c r="H2480" s="3">
        <v>552</v>
      </c>
    </row>
    <row r="2481" spans="1:8" ht="29.25" x14ac:dyDescent="0.25">
      <c r="A2481" s="2" t="str">
        <f>"00067218"</f>
        <v>00067218</v>
      </c>
      <c r="B2481" s="2" t="str">
        <f t="shared" si="121"/>
        <v>SG</v>
      </c>
      <c r="C2481" s="4" t="s">
        <v>1690</v>
      </c>
      <c r="D2481" s="4" t="s">
        <v>0</v>
      </c>
      <c r="E2481" s="4" t="s">
        <v>12</v>
      </c>
      <c r="F2481" s="2" t="s">
        <v>0</v>
      </c>
      <c r="G2481" s="2" t="str">
        <f>"01"</f>
        <v>01</v>
      </c>
      <c r="H2481" s="3">
        <v>413</v>
      </c>
    </row>
    <row r="2482" spans="1:8" ht="29.25" x14ac:dyDescent="0.25">
      <c r="A2482" s="2" t="str">
        <f>"00067227"</f>
        <v>00067227</v>
      </c>
      <c r="B2482" s="2" t="str">
        <f t="shared" si="121"/>
        <v>SG</v>
      </c>
      <c r="C2482" s="4" t="s">
        <v>1690</v>
      </c>
      <c r="D2482" s="4" t="s">
        <v>0</v>
      </c>
      <c r="E2482" s="4" t="s">
        <v>12</v>
      </c>
      <c r="F2482" s="2" t="s">
        <v>0</v>
      </c>
      <c r="G2482" s="2" t="str">
        <f>"04"</f>
        <v>04</v>
      </c>
      <c r="H2482" s="3">
        <v>785</v>
      </c>
    </row>
    <row r="2483" spans="1:8" x14ac:dyDescent="0.25">
      <c r="A2483" s="2" t="str">
        <f>"00067250"</f>
        <v>00067250</v>
      </c>
      <c r="B2483" s="2" t="str">
        <f t="shared" si="121"/>
        <v>SG</v>
      </c>
      <c r="C2483" s="4" t="s">
        <v>1691</v>
      </c>
      <c r="D2483" s="4" t="s">
        <v>0</v>
      </c>
      <c r="E2483" s="4" t="s">
        <v>12</v>
      </c>
      <c r="F2483" s="2" t="s">
        <v>0</v>
      </c>
      <c r="G2483" s="2" t="str">
        <f>"01"</f>
        <v>01</v>
      </c>
      <c r="H2483" s="3">
        <v>413</v>
      </c>
    </row>
    <row r="2484" spans="1:8" ht="29.25" x14ac:dyDescent="0.25">
      <c r="A2484" s="2" t="str">
        <f>"00067255"</f>
        <v>00067255</v>
      </c>
      <c r="B2484" s="2" t="str">
        <f t="shared" si="121"/>
        <v>SG</v>
      </c>
      <c r="C2484" s="4" t="s">
        <v>1692</v>
      </c>
      <c r="D2484" s="4" t="s">
        <v>0</v>
      </c>
      <c r="E2484" s="4" t="s">
        <v>12</v>
      </c>
      <c r="F2484" s="2" t="s">
        <v>0</v>
      </c>
      <c r="G2484" s="2" t="str">
        <f>"02"</f>
        <v>02</v>
      </c>
      <c r="H2484" s="3">
        <v>552</v>
      </c>
    </row>
    <row r="2485" spans="1:8" x14ac:dyDescent="0.25">
      <c r="A2485" s="2" t="str">
        <f>"00067311"</f>
        <v>00067311</v>
      </c>
      <c r="B2485" s="2" t="str">
        <f t="shared" si="121"/>
        <v>SG</v>
      </c>
      <c r="C2485" s="4" t="s">
        <v>1693</v>
      </c>
      <c r="D2485" s="4" t="s">
        <v>0</v>
      </c>
      <c r="E2485" s="4" t="s">
        <v>12</v>
      </c>
      <c r="F2485" s="2" t="s">
        <v>0</v>
      </c>
      <c r="G2485" s="2" t="str">
        <f>"01"</f>
        <v>01</v>
      </c>
      <c r="H2485" s="3">
        <v>413</v>
      </c>
    </row>
    <row r="2486" spans="1:8" x14ac:dyDescent="0.25">
      <c r="A2486" s="2" t="str">
        <f>"00067312"</f>
        <v>00067312</v>
      </c>
      <c r="B2486" s="2" t="str">
        <f t="shared" si="121"/>
        <v>SG</v>
      </c>
      <c r="C2486" s="4" t="s">
        <v>1694</v>
      </c>
      <c r="D2486" s="4" t="s">
        <v>0</v>
      </c>
      <c r="E2486" s="4" t="s">
        <v>12</v>
      </c>
      <c r="F2486" s="2" t="s">
        <v>0</v>
      </c>
      <c r="G2486" s="2" t="str">
        <f>"01"</f>
        <v>01</v>
      </c>
      <c r="H2486" s="3">
        <v>413</v>
      </c>
    </row>
    <row r="2487" spans="1:8" x14ac:dyDescent="0.25">
      <c r="A2487" s="2" t="str">
        <f>"00067314"</f>
        <v>00067314</v>
      </c>
      <c r="B2487" s="2" t="str">
        <f t="shared" si="121"/>
        <v>SG</v>
      </c>
      <c r="C2487" s="4" t="s">
        <v>1693</v>
      </c>
      <c r="D2487" s="4" t="s">
        <v>0</v>
      </c>
      <c r="E2487" s="4" t="s">
        <v>12</v>
      </c>
      <c r="F2487" s="2" t="s">
        <v>0</v>
      </c>
      <c r="G2487" s="2" t="str">
        <f>"01"</f>
        <v>01</v>
      </c>
      <c r="H2487" s="3">
        <v>413</v>
      </c>
    </row>
    <row r="2488" spans="1:8" x14ac:dyDescent="0.25">
      <c r="A2488" s="2" t="str">
        <f>"00067316"</f>
        <v>00067316</v>
      </c>
      <c r="B2488" s="2" t="str">
        <f t="shared" si="121"/>
        <v>SG</v>
      </c>
      <c r="C2488" s="4" t="s">
        <v>1694</v>
      </c>
      <c r="D2488" s="4" t="s">
        <v>0</v>
      </c>
      <c r="E2488" s="4" t="s">
        <v>12</v>
      </c>
      <c r="F2488" s="2" t="s">
        <v>0</v>
      </c>
      <c r="G2488" s="2" t="str">
        <f>"01"</f>
        <v>01</v>
      </c>
      <c r="H2488" s="3">
        <v>413</v>
      </c>
    </row>
    <row r="2489" spans="1:8" x14ac:dyDescent="0.25">
      <c r="A2489" s="2" t="str">
        <f>"00067318"</f>
        <v>00067318</v>
      </c>
      <c r="B2489" s="2" t="str">
        <f t="shared" si="121"/>
        <v>SG</v>
      </c>
      <c r="C2489" s="4" t="s">
        <v>1695</v>
      </c>
      <c r="D2489" s="4" t="s">
        <v>0</v>
      </c>
      <c r="E2489" s="4" t="s">
        <v>12</v>
      </c>
      <c r="F2489" s="2" t="s">
        <v>0</v>
      </c>
      <c r="G2489" s="2" t="str">
        <f>"01"</f>
        <v>01</v>
      </c>
      <c r="H2489" s="3">
        <v>413</v>
      </c>
    </row>
    <row r="2490" spans="1:8" ht="29.25" x14ac:dyDescent="0.25">
      <c r="A2490" s="2" t="str">
        <f>"00067320"</f>
        <v>00067320</v>
      </c>
      <c r="B2490" s="2" t="str">
        <f t="shared" si="121"/>
        <v>SG</v>
      </c>
      <c r="C2490" s="4" t="s">
        <v>1696</v>
      </c>
      <c r="D2490" s="4" t="s">
        <v>0</v>
      </c>
      <c r="E2490" s="4" t="s">
        <v>12</v>
      </c>
      <c r="F2490" s="2" t="s">
        <v>0</v>
      </c>
      <c r="G2490" s="2" t="str">
        <f t="shared" ref="G2490:G2495" si="124">"04"</f>
        <v>04</v>
      </c>
      <c r="H2490" s="3">
        <v>785</v>
      </c>
    </row>
    <row r="2491" spans="1:8" ht="29.25" x14ac:dyDescent="0.25">
      <c r="A2491" s="2" t="str">
        <f>"00067331"</f>
        <v>00067331</v>
      </c>
      <c r="B2491" s="2" t="str">
        <f t="shared" si="121"/>
        <v>SG</v>
      </c>
      <c r="C2491" s="4" t="s">
        <v>1697</v>
      </c>
      <c r="D2491" s="4" t="s">
        <v>0</v>
      </c>
      <c r="E2491" s="4" t="s">
        <v>12</v>
      </c>
      <c r="F2491" s="2" t="s">
        <v>0</v>
      </c>
      <c r="G2491" s="2" t="str">
        <f t="shared" si="124"/>
        <v>04</v>
      </c>
      <c r="H2491" s="3">
        <v>785</v>
      </c>
    </row>
    <row r="2492" spans="1:8" ht="29.25" x14ac:dyDescent="0.25">
      <c r="A2492" s="2" t="str">
        <f>"00067332"</f>
        <v>00067332</v>
      </c>
      <c r="B2492" s="2" t="str">
        <f t="shared" si="121"/>
        <v>SG</v>
      </c>
      <c r="C2492" s="4" t="s">
        <v>1698</v>
      </c>
      <c r="D2492" s="4" t="s">
        <v>0</v>
      </c>
      <c r="E2492" s="4" t="s">
        <v>12</v>
      </c>
      <c r="F2492" s="2" t="s">
        <v>0</v>
      </c>
      <c r="G2492" s="2" t="str">
        <f t="shared" si="124"/>
        <v>04</v>
      </c>
      <c r="H2492" s="3">
        <v>785</v>
      </c>
    </row>
    <row r="2493" spans="1:8" ht="29.25" x14ac:dyDescent="0.25">
      <c r="A2493" s="2" t="str">
        <f>"00067334"</f>
        <v>00067334</v>
      </c>
      <c r="B2493" s="2" t="str">
        <f t="shared" si="121"/>
        <v>SG</v>
      </c>
      <c r="C2493" s="4" t="s">
        <v>1699</v>
      </c>
      <c r="D2493" s="4" t="s">
        <v>0</v>
      </c>
      <c r="E2493" s="4" t="s">
        <v>12</v>
      </c>
      <c r="F2493" s="2" t="s">
        <v>0</v>
      </c>
      <c r="G2493" s="2" t="str">
        <f t="shared" si="124"/>
        <v>04</v>
      </c>
      <c r="H2493" s="3">
        <v>785</v>
      </c>
    </row>
    <row r="2494" spans="1:8" ht="29.25" x14ac:dyDescent="0.25">
      <c r="A2494" s="2" t="str">
        <f>"00067335"</f>
        <v>00067335</v>
      </c>
      <c r="B2494" s="2" t="str">
        <f t="shared" si="121"/>
        <v>SG</v>
      </c>
      <c r="C2494" s="4" t="s">
        <v>1700</v>
      </c>
      <c r="D2494" s="4" t="s">
        <v>0</v>
      </c>
      <c r="E2494" s="4" t="s">
        <v>12</v>
      </c>
      <c r="F2494" s="2" t="s">
        <v>0</v>
      </c>
      <c r="G2494" s="2" t="str">
        <f t="shared" si="124"/>
        <v>04</v>
      </c>
      <c r="H2494" s="3">
        <v>785</v>
      </c>
    </row>
    <row r="2495" spans="1:8" ht="29.25" x14ac:dyDescent="0.25">
      <c r="A2495" s="2" t="str">
        <f>"00067340"</f>
        <v>00067340</v>
      </c>
      <c r="B2495" s="2" t="str">
        <f t="shared" si="121"/>
        <v>SG</v>
      </c>
      <c r="C2495" s="4" t="s">
        <v>1701</v>
      </c>
      <c r="D2495" s="4" t="s">
        <v>0</v>
      </c>
      <c r="E2495" s="4" t="s">
        <v>12</v>
      </c>
      <c r="F2495" s="2" t="s">
        <v>0</v>
      </c>
      <c r="G2495" s="2" t="str">
        <f t="shared" si="124"/>
        <v>04</v>
      </c>
      <c r="H2495" s="3">
        <v>785</v>
      </c>
    </row>
    <row r="2496" spans="1:8" x14ac:dyDescent="0.25">
      <c r="A2496" s="2" t="str">
        <f>"00067343"</f>
        <v>00067343</v>
      </c>
      <c r="B2496" s="2" t="str">
        <f t="shared" si="121"/>
        <v>SG</v>
      </c>
      <c r="C2496" s="4" t="s">
        <v>1702</v>
      </c>
      <c r="D2496" s="4" t="s">
        <v>0</v>
      </c>
      <c r="E2496" s="4" t="s">
        <v>12</v>
      </c>
      <c r="F2496" s="2" t="s">
        <v>0</v>
      </c>
      <c r="G2496" s="2" t="str">
        <f>"01"</f>
        <v>01</v>
      </c>
      <c r="H2496" s="3">
        <v>413</v>
      </c>
    </row>
    <row r="2497" spans="1:8" x14ac:dyDescent="0.25">
      <c r="A2497" s="2" t="str">
        <f>"00067346"</f>
        <v>00067346</v>
      </c>
      <c r="B2497" s="2" t="str">
        <f t="shared" si="121"/>
        <v>SG</v>
      </c>
      <c r="C2497" s="4" t="s">
        <v>1703</v>
      </c>
      <c r="D2497" s="4" t="s">
        <v>0</v>
      </c>
      <c r="E2497" s="4" t="s">
        <v>12</v>
      </c>
      <c r="F2497" s="2" t="s">
        <v>0</v>
      </c>
      <c r="G2497" s="2" t="str">
        <f>"01"</f>
        <v>01</v>
      </c>
      <c r="H2497" s="3">
        <v>413</v>
      </c>
    </row>
    <row r="2498" spans="1:8" ht="29.25" x14ac:dyDescent="0.25">
      <c r="A2498" s="2" t="str">
        <f>"00067400"</f>
        <v>00067400</v>
      </c>
      <c r="B2498" s="2" t="str">
        <f t="shared" si="121"/>
        <v>SG</v>
      </c>
      <c r="C2498" s="4" t="s">
        <v>1704</v>
      </c>
      <c r="D2498" s="4" t="s">
        <v>0</v>
      </c>
      <c r="E2498" s="4" t="s">
        <v>12</v>
      </c>
      <c r="F2498" s="2" t="s">
        <v>0</v>
      </c>
      <c r="G2498" s="2" t="str">
        <f>"04"</f>
        <v>04</v>
      </c>
      <c r="H2498" s="3">
        <v>785</v>
      </c>
    </row>
    <row r="2499" spans="1:8" ht="29.25" x14ac:dyDescent="0.25">
      <c r="A2499" s="2" t="str">
        <f>"00067405"</f>
        <v>00067405</v>
      </c>
      <c r="B2499" s="2" t="str">
        <f t="shared" si="121"/>
        <v>SG</v>
      </c>
      <c r="C2499" s="4" t="s">
        <v>1705</v>
      </c>
      <c r="D2499" s="4" t="s">
        <v>0</v>
      </c>
      <c r="E2499" s="4" t="s">
        <v>12</v>
      </c>
      <c r="F2499" s="2" t="s">
        <v>0</v>
      </c>
      <c r="G2499" s="2" t="str">
        <f>"01"</f>
        <v>01</v>
      </c>
      <c r="H2499" s="3">
        <v>413</v>
      </c>
    </row>
    <row r="2500" spans="1:8" ht="29.25" x14ac:dyDescent="0.25">
      <c r="A2500" s="2" t="str">
        <f>"00067412"</f>
        <v>00067412</v>
      </c>
      <c r="B2500" s="2" t="str">
        <f t="shared" si="121"/>
        <v>SG</v>
      </c>
      <c r="C2500" s="4" t="s">
        <v>1706</v>
      </c>
      <c r="D2500" s="4" t="s">
        <v>0</v>
      </c>
      <c r="E2500" s="4" t="s">
        <v>12</v>
      </c>
      <c r="F2500" s="2" t="s">
        <v>0</v>
      </c>
      <c r="G2500" s="2" t="str">
        <f>"01"</f>
        <v>01</v>
      </c>
      <c r="H2500" s="3">
        <v>413</v>
      </c>
    </row>
    <row r="2501" spans="1:8" ht="29.25" x14ac:dyDescent="0.25">
      <c r="A2501" s="2" t="str">
        <f>"00067413"</f>
        <v>00067413</v>
      </c>
      <c r="B2501" s="2" t="str">
        <f t="shared" si="121"/>
        <v>SG</v>
      </c>
      <c r="C2501" s="4" t="s">
        <v>1706</v>
      </c>
      <c r="D2501" s="4" t="s">
        <v>0</v>
      </c>
      <c r="E2501" s="4" t="s">
        <v>12</v>
      </c>
      <c r="F2501" s="2" t="s">
        <v>0</v>
      </c>
      <c r="G2501" s="2" t="str">
        <f>"01"</f>
        <v>01</v>
      </c>
      <c r="H2501" s="3">
        <v>413</v>
      </c>
    </row>
    <row r="2502" spans="1:8" ht="29.25" x14ac:dyDescent="0.25">
      <c r="A2502" s="2" t="str">
        <f>"00067415"</f>
        <v>00067415</v>
      </c>
      <c r="B2502" s="2" t="str">
        <f t="shared" si="121"/>
        <v>SG</v>
      </c>
      <c r="C2502" s="4" t="s">
        <v>1707</v>
      </c>
      <c r="D2502" s="4" t="s">
        <v>0</v>
      </c>
      <c r="E2502" s="4" t="s">
        <v>12</v>
      </c>
      <c r="F2502" s="2" t="s">
        <v>0</v>
      </c>
      <c r="G2502" s="2" t="str">
        <f>"01"</f>
        <v>01</v>
      </c>
      <c r="H2502" s="3">
        <v>413</v>
      </c>
    </row>
    <row r="2503" spans="1:8" ht="29.25" x14ac:dyDescent="0.25">
      <c r="A2503" s="2" t="str">
        <f>"00067420"</f>
        <v>00067420</v>
      </c>
      <c r="B2503" s="2" t="str">
        <f t="shared" si="121"/>
        <v>SG</v>
      </c>
      <c r="C2503" s="4" t="s">
        <v>1706</v>
      </c>
      <c r="D2503" s="4" t="s">
        <v>0</v>
      </c>
      <c r="E2503" s="4" t="s">
        <v>12</v>
      </c>
      <c r="F2503" s="2" t="s">
        <v>0</v>
      </c>
      <c r="G2503" s="2" t="str">
        <f t="shared" ref="G2503:G2508" si="125">"04"</f>
        <v>04</v>
      </c>
      <c r="H2503" s="3">
        <v>785</v>
      </c>
    </row>
    <row r="2504" spans="1:8" ht="29.25" x14ac:dyDescent="0.25">
      <c r="A2504" s="2" t="str">
        <f>"00067430"</f>
        <v>00067430</v>
      </c>
      <c r="B2504" s="2" t="str">
        <f t="shared" si="121"/>
        <v>SG</v>
      </c>
      <c r="C2504" s="4" t="s">
        <v>1706</v>
      </c>
      <c r="D2504" s="4" t="s">
        <v>0</v>
      </c>
      <c r="E2504" s="4" t="s">
        <v>12</v>
      </c>
      <c r="F2504" s="2" t="s">
        <v>0</v>
      </c>
      <c r="G2504" s="2" t="str">
        <f t="shared" si="125"/>
        <v>04</v>
      </c>
      <c r="H2504" s="3">
        <v>785</v>
      </c>
    </row>
    <row r="2505" spans="1:8" ht="29.25" x14ac:dyDescent="0.25">
      <c r="A2505" s="2" t="str">
        <f>"00067440"</f>
        <v>00067440</v>
      </c>
      <c r="B2505" s="2" t="str">
        <f t="shared" si="121"/>
        <v>SG</v>
      </c>
      <c r="C2505" s="4" t="s">
        <v>1705</v>
      </c>
      <c r="D2505" s="4" t="s">
        <v>0</v>
      </c>
      <c r="E2505" s="4" t="s">
        <v>12</v>
      </c>
      <c r="F2505" s="2" t="s">
        <v>0</v>
      </c>
      <c r="G2505" s="2" t="str">
        <f t="shared" si="125"/>
        <v>04</v>
      </c>
      <c r="H2505" s="3">
        <v>785</v>
      </c>
    </row>
    <row r="2506" spans="1:8" ht="29.25" x14ac:dyDescent="0.25">
      <c r="A2506" s="2" t="str">
        <f>"00067445"</f>
        <v>00067445</v>
      </c>
      <c r="B2506" s="2" t="str">
        <f t="shared" si="121"/>
        <v>SG</v>
      </c>
      <c r="C2506" s="4" t="s">
        <v>1708</v>
      </c>
      <c r="D2506" s="4" t="s">
        <v>0</v>
      </c>
      <c r="E2506" s="4" t="s">
        <v>12</v>
      </c>
      <c r="F2506" s="2" t="s">
        <v>0</v>
      </c>
      <c r="G2506" s="2" t="str">
        <f t="shared" si="125"/>
        <v>04</v>
      </c>
      <c r="H2506" s="3">
        <v>785</v>
      </c>
    </row>
    <row r="2507" spans="1:8" ht="29.25" x14ac:dyDescent="0.25">
      <c r="A2507" s="2" t="str">
        <f>"00067450"</f>
        <v>00067450</v>
      </c>
      <c r="B2507" s="2" t="str">
        <f t="shared" si="121"/>
        <v>SG</v>
      </c>
      <c r="C2507" s="4" t="s">
        <v>1704</v>
      </c>
      <c r="D2507" s="4" t="s">
        <v>0</v>
      </c>
      <c r="E2507" s="4" t="s">
        <v>12</v>
      </c>
      <c r="F2507" s="2" t="s">
        <v>0</v>
      </c>
      <c r="G2507" s="2" t="str">
        <f t="shared" si="125"/>
        <v>04</v>
      </c>
      <c r="H2507" s="3">
        <v>785</v>
      </c>
    </row>
    <row r="2508" spans="1:8" ht="29.25" x14ac:dyDescent="0.25">
      <c r="A2508" s="2" t="str">
        <f>"00067550"</f>
        <v>00067550</v>
      </c>
      <c r="B2508" s="2" t="str">
        <f t="shared" si="121"/>
        <v>SG</v>
      </c>
      <c r="C2508" s="4" t="s">
        <v>1709</v>
      </c>
      <c r="D2508" s="4" t="s">
        <v>0</v>
      </c>
      <c r="E2508" s="4" t="s">
        <v>12</v>
      </c>
      <c r="F2508" s="2" t="s">
        <v>0</v>
      </c>
      <c r="G2508" s="2" t="str">
        <f t="shared" si="125"/>
        <v>04</v>
      </c>
      <c r="H2508" s="3">
        <v>785</v>
      </c>
    </row>
    <row r="2509" spans="1:8" ht="29.25" x14ac:dyDescent="0.25">
      <c r="A2509" s="2" t="str">
        <f>"00067560"</f>
        <v>00067560</v>
      </c>
      <c r="B2509" s="2" t="str">
        <f t="shared" ref="B2509:B2572" si="126">"SG"</f>
        <v>SG</v>
      </c>
      <c r="C2509" s="4" t="s">
        <v>1710</v>
      </c>
      <c r="D2509" s="4" t="s">
        <v>0</v>
      </c>
      <c r="E2509" s="4" t="s">
        <v>12</v>
      </c>
      <c r="F2509" s="2" t="s">
        <v>0</v>
      </c>
      <c r="G2509" s="2" t="str">
        <f t="shared" ref="G2509:G2518" si="127">"01"</f>
        <v>01</v>
      </c>
      <c r="H2509" s="3">
        <v>413</v>
      </c>
    </row>
    <row r="2510" spans="1:8" ht="29.25" x14ac:dyDescent="0.25">
      <c r="A2510" s="2" t="str">
        <f>"00067570"</f>
        <v>00067570</v>
      </c>
      <c r="B2510" s="2" t="str">
        <f t="shared" si="126"/>
        <v>SG</v>
      </c>
      <c r="C2510" s="4" t="s">
        <v>1711</v>
      </c>
      <c r="D2510" s="4" t="s">
        <v>0</v>
      </c>
      <c r="E2510" s="4" t="s">
        <v>12</v>
      </c>
      <c r="F2510" s="2" t="s">
        <v>0</v>
      </c>
      <c r="G2510" s="2" t="str">
        <f t="shared" si="127"/>
        <v>01</v>
      </c>
      <c r="H2510" s="3">
        <v>413</v>
      </c>
    </row>
    <row r="2511" spans="1:8" x14ac:dyDescent="0.25">
      <c r="A2511" s="2" t="str">
        <f>"00067715"</f>
        <v>00067715</v>
      </c>
      <c r="B2511" s="2" t="str">
        <f t="shared" si="126"/>
        <v>SG</v>
      </c>
      <c r="C2511" s="4" t="s">
        <v>1712</v>
      </c>
      <c r="D2511" s="4" t="s">
        <v>0</v>
      </c>
      <c r="E2511" s="4" t="s">
        <v>12</v>
      </c>
      <c r="F2511" s="2" t="s">
        <v>0</v>
      </c>
      <c r="G2511" s="2" t="str">
        <f t="shared" si="127"/>
        <v>01</v>
      </c>
      <c r="H2511" s="3">
        <v>413</v>
      </c>
    </row>
    <row r="2512" spans="1:8" x14ac:dyDescent="0.25">
      <c r="A2512" s="2" t="str">
        <f>"00067808"</f>
        <v>00067808</v>
      </c>
      <c r="B2512" s="2" t="str">
        <f t="shared" si="126"/>
        <v>SG</v>
      </c>
      <c r="C2512" s="4" t="s">
        <v>1713</v>
      </c>
      <c r="D2512" s="4" t="s">
        <v>0</v>
      </c>
      <c r="E2512" s="4" t="s">
        <v>12</v>
      </c>
      <c r="F2512" s="2" t="s">
        <v>0</v>
      </c>
      <c r="G2512" s="2" t="str">
        <f t="shared" si="127"/>
        <v>01</v>
      </c>
      <c r="H2512" s="3">
        <v>413</v>
      </c>
    </row>
    <row r="2513" spans="1:8" x14ac:dyDescent="0.25">
      <c r="A2513" s="2" t="str">
        <f>"00067830"</f>
        <v>00067830</v>
      </c>
      <c r="B2513" s="2" t="str">
        <f t="shared" si="126"/>
        <v>SG</v>
      </c>
      <c r="C2513" s="4" t="s">
        <v>1714</v>
      </c>
      <c r="D2513" s="4" t="s">
        <v>0</v>
      </c>
      <c r="E2513" s="4" t="s">
        <v>12</v>
      </c>
      <c r="F2513" s="2" t="s">
        <v>0</v>
      </c>
      <c r="G2513" s="2" t="str">
        <f t="shared" si="127"/>
        <v>01</v>
      </c>
      <c r="H2513" s="3">
        <v>413</v>
      </c>
    </row>
    <row r="2514" spans="1:8" x14ac:dyDescent="0.25">
      <c r="A2514" s="2" t="str">
        <f>"00067835"</f>
        <v>00067835</v>
      </c>
      <c r="B2514" s="2" t="str">
        <f t="shared" si="126"/>
        <v>SG</v>
      </c>
      <c r="C2514" s="4" t="s">
        <v>1714</v>
      </c>
      <c r="D2514" s="4" t="s">
        <v>0</v>
      </c>
      <c r="E2514" s="4" t="s">
        <v>12</v>
      </c>
      <c r="F2514" s="2" t="s">
        <v>0</v>
      </c>
      <c r="G2514" s="2" t="str">
        <f t="shared" si="127"/>
        <v>01</v>
      </c>
      <c r="H2514" s="3">
        <v>413</v>
      </c>
    </row>
    <row r="2515" spans="1:8" x14ac:dyDescent="0.25">
      <c r="A2515" s="2" t="str">
        <f>"00067880"</f>
        <v>00067880</v>
      </c>
      <c r="B2515" s="2" t="str">
        <f t="shared" si="126"/>
        <v>SG</v>
      </c>
      <c r="C2515" s="4" t="s">
        <v>206</v>
      </c>
      <c r="D2515" s="4" t="s">
        <v>0</v>
      </c>
      <c r="E2515" s="4" t="s">
        <v>12</v>
      </c>
      <c r="F2515" s="2" t="s">
        <v>0</v>
      </c>
      <c r="G2515" s="2" t="str">
        <f t="shared" si="127"/>
        <v>01</v>
      </c>
      <c r="H2515" s="3">
        <v>413</v>
      </c>
    </row>
    <row r="2516" spans="1:8" x14ac:dyDescent="0.25">
      <c r="A2516" s="2" t="str">
        <f>"00067882"</f>
        <v>00067882</v>
      </c>
      <c r="B2516" s="2" t="str">
        <f t="shared" si="126"/>
        <v>SG</v>
      </c>
      <c r="C2516" s="4" t="s">
        <v>206</v>
      </c>
      <c r="D2516" s="4" t="s">
        <v>0</v>
      </c>
      <c r="E2516" s="4" t="s">
        <v>12</v>
      </c>
      <c r="F2516" s="2" t="s">
        <v>0</v>
      </c>
      <c r="G2516" s="2" t="str">
        <f t="shared" si="127"/>
        <v>01</v>
      </c>
      <c r="H2516" s="3">
        <v>413</v>
      </c>
    </row>
    <row r="2517" spans="1:8" x14ac:dyDescent="0.25">
      <c r="A2517" s="2" t="str">
        <f>"00067900"</f>
        <v>00067900</v>
      </c>
      <c r="B2517" s="2" t="str">
        <f t="shared" si="126"/>
        <v>SG</v>
      </c>
      <c r="C2517" s="4" t="s">
        <v>1715</v>
      </c>
      <c r="D2517" s="4" t="s">
        <v>101</v>
      </c>
      <c r="E2517" s="4" t="s">
        <v>12</v>
      </c>
      <c r="F2517" s="2" t="s">
        <v>0</v>
      </c>
      <c r="G2517" s="2" t="str">
        <f t="shared" si="127"/>
        <v>01</v>
      </c>
      <c r="H2517" s="3">
        <v>413</v>
      </c>
    </row>
    <row r="2518" spans="1:8" x14ac:dyDescent="0.25">
      <c r="A2518" s="2" t="str">
        <f>"00067901"</f>
        <v>00067901</v>
      </c>
      <c r="B2518" s="2" t="str">
        <f t="shared" si="126"/>
        <v>SG</v>
      </c>
      <c r="C2518" s="4" t="s">
        <v>1716</v>
      </c>
      <c r="D2518" s="4" t="s">
        <v>0</v>
      </c>
      <c r="E2518" s="4" t="s">
        <v>12</v>
      </c>
      <c r="F2518" s="2" t="s">
        <v>0</v>
      </c>
      <c r="G2518" s="2" t="str">
        <f t="shared" si="127"/>
        <v>01</v>
      </c>
      <c r="H2518" s="3">
        <v>413</v>
      </c>
    </row>
    <row r="2519" spans="1:8" x14ac:dyDescent="0.25">
      <c r="A2519" s="2" t="str">
        <f>"00067902"</f>
        <v>00067902</v>
      </c>
      <c r="B2519" s="2" t="str">
        <f t="shared" si="126"/>
        <v>SG</v>
      </c>
      <c r="C2519" s="4" t="s">
        <v>1716</v>
      </c>
      <c r="D2519" s="4" t="s">
        <v>0</v>
      </c>
      <c r="E2519" s="4" t="s">
        <v>12</v>
      </c>
      <c r="F2519" s="2" t="s">
        <v>0</v>
      </c>
      <c r="G2519" s="2" t="str">
        <f>"04"</f>
        <v>04</v>
      </c>
      <c r="H2519" s="3">
        <v>785</v>
      </c>
    </row>
    <row r="2520" spans="1:8" x14ac:dyDescent="0.25">
      <c r="A2520" s="2" t="str">
        <f>"00067903"</f>
        <v>00067903</v>
      </c>
      <c r="B2520" s="2" t="str">
        <f t="shared" si="126"/>
        <v>SG</v>
      </c>
      <c r="C2520" s="4" t="s">
        <v>1716</v>
      </c>
      <c r="D2520" s="4" t="s">
        <v>0</v>
      </c>
      <c r="E2520" s="4" t="s">
        <v>12</v>
      </c>
      <c r="F2520" s="2" t="s">
        <v>0</v>
      </c>
      <c r="G2520" s="2" t="str">
        <f t="shared" ref="G2520:G2526" si="128">"01"</f>
        <v>01</v>
      </c>
      <c r="H2520" s="3">
        <v>413</v>
      </c>
    </row>
    <row r="2521" spans="1:8" x14ac:dyDescent="0.25">
      <c r="A2521" s="2" t="str">
        <f>"00067904"</f>
        <v>00067904</v>
      </c>
      <c r="B2521" s="2" t="str">
        <f t="shared" si="126"/>
        <v>SG</v>
      </c>
      <c r="C2521" s="4" t="s">
        <v>1716</v>
      </c>
      <c r="D2521" s="4" t="s">
        <v>0</v>
      </c>
      <c r="E2521" s="4" t="s">
        <v>12</v>
      </c>
      <c r="F2521" s="2" t="s">
        <v>0</v>
      </c>
      <c r="G2521" s="2" t="str">
        <f t="shared" si="128"/>
        <v>01</v>
      </c>
      <c r="H2521" s="3">
        <v>413</v>
      </c>
    </row>
    <row r="2522" spans="1:8" x14ac:dyDescent="0.25">
      <c r="A2522" s="2" t="str">
        <f>"00067906"</f>
        <v>00067906</v>
      </c>
      <c r="B2522" s="2" t="str">
        <f t="shared" si="126"/>
        <v>SG</v>
      </c>
      <c r="C2522" s="4" t="s">
        <v>1716</v>
      </c>
      <c r="D2522" s="4" t="s">
        <v>0</v>
      </c>
      <c r="E2522" s="4" t="s">
        <v>12</v>
      </c>
      <c r="F2522" s="2" t="s">
        <v>0</v>
      </c>
      <c r="G2522" s="2" t="str">
        <f t="shared" si="128"/>
        <v>01</v>
      </c>
      <c r="H2522" s="3">
        <v>413</v>
      </c>
    </row>
    <row r="2523" spans="1:8" x14ac:dyDescent="0.25">
      <c r="A2523" s="2" t="str">
        <f>"00067908"</f>
        <v>00067908</v>
      </c>
      <c r="B2523" s="2" t="str">
        <f t="shared" si="126"/>
        <v>SG</v>
      </c>
      <c r="C2523" s="4" t="s">
        <v>1716</v>
      </c>
      <c r="D2523" s="4" t="s">
        <v>0</v>
      </c>
      <c r="E2523" s="4" t="s">
        <v>12</v>
      </c>
      <c r="F2523" s="2" t="s">
        <v>0</v>
      </c>
      <c r="G2523" s="2" t="str">
        <f t="shared" si="128"/>
        <v>01</v>
      </c>
      <c r="H2523" s="3">
        <v>413</v>
      </c>
    </row>
    <row r="2524" spans="1:8" x14ac:dyDescent="0.25">
      <c r="A2524" s="2" t="str">
        <f>"00067909"</f>
        <v>00067909</v>
      </c>
      <c r="B2524" s="2" t="str">
        <f t="shared" si="126"/>
        <v>SG</v>
      </c>
      <c r="C2524" s="4" t="s">
        <v>1717</v>
      </c>
      <c r="D2524" s="4" t="s">
        <v>0</v>
      </c>
      <c r="E2524" s="4" t="s">
        <v>12</v>
      </c>
      <c r="F2524" s="2" t="s">
        <v>0</v>
      </c>
      <c r="G2524" s="2" t="str">
        <f t="shared" si="128"/>
        <v>01</v>
      </c>
      <c r="H2524" s="3">
        <v>413</v>
      </c>
    </row>
    <row r="2525" spans="1:8" x14ac:dyDescent="0.25">
      <c r="A2525" s="2" t="str">
        <f>"00067911"</f>
        <v>00067911</v>
      </c>
      <c r="B2525" s="2" t="str">
        <f t="shared" si="126"/>
        <v>SG</v>
      </c>
      <c r="C2525" s="4" t="s">
        <v>1717</v>
      </c>
      <c r="D2525" s="4" t="s">
        <v>0</v>
      </c>
      <c r="E2525" s="4" t="s">
        <v>12</v>
      </c>
      <c r="F2525" s="2" t="s">
        <v>0</v>
      </c>
      <c r="G2525" s="2" t="str">
        <f t="shared" si="128"/>
        <v>01</v>
      </c>
      <c r="H2525" s="3">
        <v>413</v>
      </c>
    </row>
    <row r="2526" spans="1:8" ht="29.25" x14ac:dyDescent="0.25">
      <c r="A2526" s="2" t="str">
        <f>"00067912"</f>
        <v>00067912</v>
      </c>
      <c r="B2526" s="2" t="str">
        <f t="shared" si="126"/>
        <v>SG</v>
      </c>
      <c r="C2526" s="4" t="s">
        <v>1718</v>
      </c>
      <c r="D2526" s="4" t="s">
        <v>0</v>
      </c>
      <c r="E2526" s="4" t="s">
        <v>12</v>
      </c>
      <c r="F2526" s="2" t="s">
        <v>0</v>
      </c>
      <c r="G2526" s="2" t="str">
        <f t="shared" si="128"/>
        <v>01</v>
      </c>
      <c r="H2526" s="3">
        <v>413</v>
      </c>
    </row>
    <row r="2527" spans="1:8" x14ac:dyDescent="0.25">
      <c r="A2527" s="2" t="str">
        <f>"00067914"</f>
        <v>00067914</v>
      </c>
      <c r="B2527" s="2" t="str">
        <f t="shared" si="126"/>
        <v>SG</v>
      </c>
      <c r="C2527" s="4" t="s">
        <v>1716</v>
      </c>
      <c r="D2527" s="4" t="s">
        <v>0</v>
      </c>
      <c r="E2527" s="4" t="s">
        <v>12</v>
      </c>
      <c r="F2527" s="2" t="s">
        <v>0</v>
      </c>
      <c r="G2527" s="2" t="str">
        <f>"02"</f>
        <v>02</v>
      </c>
      <c r="H2527" s="3">
        <v>552</v>
      </c>
    </row>
    <row r="2528" spans="1:8" x14ac:dyDescent="0.25">
      <c r="A2528" s="2" t="str">
        <f>"00067916"</f>
        <v>00067916</v>
      </c>
      <c r="B2528" s="2" t="str">
        <f t="shared" si="126"/>
        <v>SG</v>
      </c>
      <c r="C2528" s="4" t="s">
        <v>1716</v>
      </c>
      <c r="D2528" s="4" t="s">
        <v>0</v>
      </c>
      <c r="E2528" s="4" t="s">
        <v>12</v>
      </c>
      <c r="F2528" s="2" t="s">
        <v>0</v>
      </c>
      <c r="G2528" s="2" t="str">
        <f>"01"</f>
        <v>01</v>
      </c>
      <c r="H2528" s="3">
        <v>413</v>
      </c>
    </row>
    <row r="2529" spans="1:8" x14ac:dyDescent="0.25">
      <c r="A2529" s="2" t="str">
        <f>"00067917"</f>
        <v>00067917</v>
      </c>
      <c r="B2529" s="2" t="str">
        <f t="shared" si="126"/>
        <v>SG</v>
      </c>
      <c r="C2529" s="4" t="s">
        <v>1716</v>
      </c>
      <c r="D2529" s="4" t="s">
        <v>0</v>
      </c>
      <c r="E2529" s="4" t="s">
        <v>12</v>
      </c>
      <c r="F2529" s="2" t="s">
        <v>0</v>
      </c>
      <c r="G2529" s="2" t="str">
        <f>"02"</f>
        <v>02</v>
      </c>
      <c r="H2529" s="3">
        <v>552</v>
      </c>
    </row>
    <row r="2530" spans="1:8" x14ac:dyDescent="0.25">
      <c r="A2530" s="2" t="str">
        <f>"00067921"</f>
        <v>00067921</v>
      </c>
      <c r="B2530" s="2" t="str">
        <f t="shared" si="126"/>
        <v>SG</v>
      </c>
      <c r="C2530" s="4" t="s">
        <v>1716</v>
      </c>
      <c r="D2530" s="4" t="s">
        <v>0</v>
      </c>
      <c r="E2530" s="4" t="s">
        <v>12</v>
      </c>
      <c r="F2530" s="2" t="s">
        <v>0</v>
      </c>
      <c r="G2530" s="2" t="str">
        <f t="shared" ref="G2530:G2540" si="129">"01"</f>
        <v>01</v>
      </c>
      <c r="H2530" s="3">
        <v>413</v>
      </c>
    </row>
    <row r="2531" spans="1:8" x14ac:dyDescent="0.25">
      <c r="A2531" s="2" t="str">
        <f>"00067923"</f>
        <v>00067923</v>
      </c>
      <c r="B2531" s="2" t="str">
        <f t="shared" si="126"/>
        <v>SG</v>
      </c>
      <c r="C2531" s="4" t="s">
        <v>1716</v>
      </c>
      <c r="D2531" s="4" t="s">
        <v>0</v>
      </c>
      <c r="E2531" s="4" t="s">
        <v>12</v>
      </c>
      <c r="F2531" s="2" t="s">
        <v>0</v>
      </c>
      <c r="G2531" s="2" t="str">
        <f t="shared" si="129"/>
        <v>01</v>
      </c>
      <c r="H2531" s="3">
        <v>413</v>
      </c>
    </row>
    <row r="2532" spans="1:8" x14ac:dyDescent="0.25">
      <c r="A2532" s="2" t="str">
        <f>"00067924"</f>
        <v>00067924</v>
      </c>
      <c r="B2532" s="2" t="str">
        <f t="shared" si="126"/>
        <v>SG</v>
      </c>
      <c r="C2532" s="4" t="s">
        <v>1716</v>
      </c>
      <c r="D2532" s="4" t="s">
        <v>0</v>
      </c>
      <c r="E2532" s="4" t="s">
        <v>12</v>
      </c>
      <c r="F2532" s="2" t="s">
        <v>0</v>
      </c>
      <c r="G2532" s="2" t="str">
        <f t="shared" si="129"/>
        <v>01</v>
      </c>
      <c r="H2532" s="3">
        <v>413</v>
      </c>
    </row>
    <row r="2533" spans="1:8" x14ac:dyDescent="0.25">
      <c r="A2533" s="2" t="str">
        <f>"00067935"</f>
        <v>00067935</v>
      </c>
      <c r="B2533" s="2" t="str">
        <f t="shared" si="126"/>
        <v>SG</v>
      </c>
      <c r="C2533" s="4" t="s">
        <v>1719</v>
      </c>
      <c r="D2533" s="4" t="s">
        <v>0</v>
      </c>
      <c r="E2533" s="4" t="s">
        <v>12</v>
      </c>
      <c r="F2533" s="2" t="s">
        <v>0</v>
      </c>
      <c r="G2533" s="2" t="str">
        <f t="shared" si="129"/>
        <v>01</v>
      </c>
      <c r="H2533" s="3">
        <v>413</v>
      </c>
    </row>
    <row r="2534" spans="1:8" x14ac:dyDescent="0.25">
      <c r="A2534" s="2" t="str">
        <f>"00067950"</f>
        <v>00067950</v>
      </c>
      <c r="B2534" s="2" t="str">
        <f t="shared" si="126"/>
        <v>SG</v>
      </c>
      <c r="C2534" s="4" t="s">
        <v>206</v>
      </c>
      <c r="D2534" s="4" t="s">
        <v>0</v>
      </c>
      <c r="E2534" s="4" t="s">
        <v>12</v>
      </c>
      <c r="F2534" s="2" t="s">
        <v>0</v>
      </c>
      <c r="G2534" s="2" t="str">
        <f t="shared" si="129"/>
        <v>01</v>
      </c>
      <c r="H2534" s="3">
        <v>413</v>
      </c>
    </row>
    <row r="2535" spans="1:8" x14ac:dyDescent="0.25">
      <c r="A2535" s="2" t="str">
        <f>"00067961"</f>
        <v>00067961</v>
      </c>
      <c r="B2535" s="2" t="str">
        <f t="shared" si="126"/>
        <v>SG</v>
      </c>
      <c r="C2535" s="4" t="s">
        <v>206</v>
      </c>
      <c r="D2535" s="4" t="s">
        <v>0</v>
      </c>
      <c r="E2535" s="4" t="s">
        <v>12</v>
      </c>
      <c r="F2535" s="2" t="s">
        <v>0</v>
      </c>
      <c r="G2535" s="2" t="str">
        <f t="shared" si="129"/>
        <v>01</v>
      </c>
      <c r="H2535" s="3">
        <v>413</v>
      </c>
    </row>
    <row r="2536" spans="1:8" x14ac:dyDescent="0.25">
      <c r="A2536" s="2" t="str">
        <f>"00067966"</f>
        <v>00067966</v>
      </c>
      <c r="B2536" s="2" t="str">
        <f t="shared" si="126"/>
        <v>SG</v>
      </c>
      <c r="C2536" s="4" t="s">
        <v>206</v>
      </c>
      <c r="D2536" s="4" t="s">
        <v>0</v>
      </c>
      <c r="E2536" s="4" t="s">
        <v>12</v>
      </c>
      <c r="F2536" s="2" t="s">
        <v>0</v>
      </c>
      <c r="G2536" s="2" t="str">
        <f t="shared" si="129"/>
        <v>01</v>
      </c>
      <c r="H2536" s="3">
        <v>413</v>
      </c>
    </row>
    <row r="2537" spans="1:8" ht="29.25" x14ac:dyDescent="0.25">
      <c r="A2537" s="2" t="str">
        <f>"00067971"</f>
        <v>00067971</v>
      </c>
      <c r="B2537" s="2" t="str">
        <f t="shared" si="126"/>
        <v>SG</v>
      </c>
      <c r="C2537" s="4" t="s">
        <v>1720</v>
      </c>
      <c r="D2537" s="4" t="s">
        <v>0</v>
      </c>
      <c r="E2537" s="4" t="s">
        <v>12</v>
      </c>
      <c r="F2537" s="2" t="s">
        <v>0</v>
      </c>
      <c r="G2537" s="2" t="str">
        <f t="shared" si="129"/>
        <v>01</v>
      </c>
      <c r="H2537" s="3">
        <v>413</v>
      </c>
    </row>
    <row r="2538" spans="1:8" ht="29.25" x14ac:dyDescent="0.25">
      <c r="A2538" s="2" t="str">
        <f>"00067973"</f>
        <v>00067973</v>
      </c>
      <c r="B2538" s="2" t="str">
        <f t="shared" si="126"/>
        <v>SG</v>
      </c>
      <c r="C2538" s="4" t="s">
        <v>1720</v>
      </c>
      <c r="D2538" s="4" t="s">
        <v>0</v>
      </c>
      <c r="E2538" s="4" t="s">
        <v>12</v>
      </c>
      <c r="F2538" s="2" t="s">
        <v>0</v>
      </c>
      <c r="G2538" s="2" t="str">
        <f t="shared" si="129"/>
        <v>01</v>
      </c>
      <c r="H2538" s="3">
        <v>413</v>
      </c>
    </row>
    <row r="2539" spans="1:8" ht="29.25" x14ac:dyDescent="0.25">
      <c r="A2539" s="2" t="str">
        <f>"00067974"</f>
        <v>00067974</v>
      </c>
      <c r="B2539" s="2" t="str">
        <f t="shared" si="126"/>
        <v>SG</v>
      </c>
      <c r="C2539" s="4" t="s">
        <v>1720</v>
      </c>
      <c r="D2539" s="4" t="s">
        <v>0</v>
      </c>
      <c r="E2539" s="4" t="s">
        <v>12</v>
      </c>
      <c r="F2539" s="2" t="s">
        <v>0</v>
      </c>
      <c r="G2539" s="2" t="str">
        <f t="shared" si="129"/>
        <v>01</v>
      </c>
      <c r="H2539" s="3">
        <v>413</v>
      </c>
    </row>
    <row r="2540" spans="1:8" ht="29.25" x14ac:dyDescent="0.25">
      <c r="A2540" s="2" t="str">
        <f>"00067975"</f>
        <v>00067975</v>
      </c>
      <c r="B2540" s="2" t="str">
        <f t="shared" si="126"/>
        <v>SG</v>
      </c>
      <c r="C2540" s="4" t="s">
        <v>1720</v>
      </c>
      <c r="D2540" s="4" t="s">
        <v>0</v>
      </c>
      <c r="E2540" s="4" t="s">
        <v>12</v>
      </c>
      <c r="F2540" s="2" t="s">
        <v>0</v>
      </c>
      <c r="G2540" s="2" t="str">
        <f t="shared" si="129"/>
        <v>01</v>
      </c>
      <c r="H2540" s="3">
        <v>413</v>
      </c>
    </row>
    <row r="2541" spans="1:8" ht="29.25" x14ac:dyDescent="0.25">
      <c r="A2541" s="2" t="str">
        <f>"00068115"</f>
        <v>00068115</v>
      </c>
      <c r="B2541" s="2" t="str">
        <f t="shared" si="126"/>
        <v>SG</v>
      </c>
      <c r="C2541" s="4" t="s">
        <v>1721</v>
      </c>
      <c r="D2541" s="4" t="s">
        <v>0</v>
      </c>
      <c r="E2541" s="4" t="s">
        <v>12</v>
      </c>
      <c r="F2541" s="2" t="s">
        <v>0</v>
      </c>
      <c r="G2541" s="2" t="str">
        <f>"02"</f>
        <v>02</v>
      </c>
      <c r="H2541" s="3">
        <v>552</v>
      </c>
    </row>
    <row r="2542" spans="1:8" ht="29.25" x14ac:dyDescent="0.25">
      <c r="A2542" s="2" t="str">
        <f>"00068130"</f>
        <v>00068130</v>
      </c>
      <c r="B2542" s="2" t="str">
        <f t="shared" si="126"/>
        <v>SG</v>
      </c>
      <c r="C2542" s="4" t="s">
        <v>1721</v>
      </c>
      <c r="D2542" s="4" t="s">
        <v>0</v>
      </c>
      <c r="E2542" s="4" t="s">
        <v>12</v>
      </c>
      <c r="F2542" s="2" t="s">
        <v>0</v>
      </c>
      <c r="G2542" s="2" t="str">
        <f>"02"</f>
        <v>02</v>
      </c>
      <c r="H2542" s="3">
        <v>552</v>
      </c>
    </row>
    <row r="2543" spans="1:8" ht="29.25" x14ac:dyDescent="0.25">
      <c r="A2543" s="2" t="str">
        <f>"00068320"</f>
        <v>00068320</v>
      </c>
      <c r="B2543" s="2" t="str">
        <f t="shared" si="126"/>
        <v>SG</v>
      </c>
      <c r="C2543" s="4" t="s">
        <v>1722</v>
      </c>
      <c r="D2543" s="4" t="s">
        <v>0</v>
      </c>
      <c r="E2543" s="4" t="s">
        <v>12</v>
      </c>
      <c r="F2543" s="2" t="s">
        <v>0</v>
      </c>
      <c r="G2543" s="2" t="str">
        <f t="shared" ref="G2543:G2549" si="130">"04"</f>
        <v>04</v>
      </c>
      <c r="H2543" s="3">
        <v>785</v>
      </c>
    </row>
    <row r="2544" spans="1:8" ht="29.25" x14ac:dyDescent="0.25">
      <c r="A2544" s="2" t="str">
        <f>"00068325"</f>
        <v>00068325</v>
      </c>
      <c r="B2544" s="2" t="str">
        <f t="shared" si="126"/>
        <v>SG</v>
      </c>
      <c r="C2544" s="4" t="s">
        <v>1722</v>
      </c>
      <c r="D2544" s="4" t="s">
        <v>0</v>
      </c>
      <c r="E2544" s="4" t="s">
        <v>12</v>
      </c>
      <c r="F2544" s="2" t="s">
        <v>0</v>
      </c>
      <c r="G2544" s="2" t="str">
        <f t="shared" si="130"/>
        <v>04</v>
      </c>
      <c r="H2544" s="3">
        <v>785</v>
      </c>
    </row>
    <row r="2545" spans="1:8" ht="29.25" x14ac:dyDescent="0.25">
      <c r="A2545" s="2" t="str">
        <f>"00068326"</f>
        <v>00068326</v>
      </c>
      <c r="B2545" s="2" t="str">
        <f t="shared" si="126"/>
        <v>SG</v>
      </c>
      <c r="C2545" s="4" t="s">
        <v>1722</v>
      </c>
      <c r="D2545" s="4" t="s">
        <v>0</v>
      </c>
      <c r="E2545" s="4" t="s">
        <v>12</v>
      </c>
      <c r="F2545" s="2" t="s">
        <v>0</v>
      </c>
      <c r="G2545" s="2" t="str">
        <f t="shared" si="130"/>
        <v>04</v>
      </c>
      <c r="H2545" s="3">
        <v>785</v>
      </c>
    </row>
    <row r="2546" spans="1:8" ht="29.25" x14ac:dyDescent="0.25">
      <c r="A2546" s="2" t="str">
        <f>"00068328"</f>
        <v>00068328</v>
      </c>
      <c r="B2546" s="2" t="str">
        <f t="shared" si="126"/>
        <v>SG</v>
      </c>
      <c r="C2546" s="4" t="s">
        <v>1722</v>
      </c>
      <c r="D2546" s="4" t="s">
        <v>0</v>
      </c>
      <c r="E2546" s="4" t="s">
        <v>12</v>
      </c>
      <c r="F2546" s="2" t="s">
        <v>0</v>
      </c>
      <c r="G2546" s="2" t="str">
        <f t="shared" si="130"/>
        <v>04</v>
      </c>
      <c r="H2546" s="3">
        <v>785</v>
      </c>
    </row>
    <row r="2547" spans="1:8" x14ac:dyDescent="0.25">
      <c r="A2547" s="2" t="str">
        <f>"00068330"</f>
        <v>00068330</v>
      </c>
      <c r="B2547" s="2" t="str">
        <f t="shared" si="126"/>
        <v>SG</v>
      </c>
      <c r="C2547" s="4" t="s">
        <v>1723</v>
      </c>
      <c r="D2547" s="4" t="s">
        <v>0</v>
      </c>
      <c r="E2547" s="4" t="s">
        <v>12</v>
      </c>
      <c r="F2547" s="2" t="s">
        <v>0</v>
      </c>
      <c r="G2547" s="2" t="str">
        <f t="shared" si="130"/>
        <v>04</v>
      </c>
      <c r="H2547" s="3">
        <v>785</v>
      </c>
    </row>
    <row r="2548" spans="1:8" ht="29.25" x14ac:dyDescent="0.25">
      <c r="A2548" s="2" t="str">
        <f>"00068335"</f>
        <v>00068335</v>
      </c>
      <c r="B2548" s="2" t="str">
        <f t="shared" si="126"/>
        <v>SG</v>
      </c>
      <c r="C2548" s="4" t="s">
        <v>1722</v>
      </c>
      <c r="D2548" s="4" t="s">
        <v>0</v>
      </c>
      <c r="E2548" s="4" t="s">
        <v>12</v>
      </c>
      <c r="F2548" s="2" t="s">
        <v>0</v>
      </c>
      <c r="G2548" s="2" t="str">
        <f t="shared" si="130"/>
        <v>04</v>
      </c>
      <c r="H2548" s="3">
        <v>785</v>
      </c>
    </row>
    <row r="2549" spans="1:8" ht="29.25" x14ac:dyDescent="0.25">
      <c r="A2549" s="2" t="str">
        <f>"00068340"</f>
        <v>00068340</v>
      </c>
      <c r="B2549" s="2" t="str">
        <f t="shared" si="126"/>
        <v>SG</v>
      </c>
      <c r="C2549" s="4" t="s">
        <v>1724</v>
      </c>
      <c r="D2549" s="4" t="s">
        <v>0</v>
      </c>
      <c r="E2549" s="4" t="s">
        <v>12</v>
      </c>
      <c r="F2549" s="2" t="s">
        <v>0</v>
      </c>
      <c r="G2549" s="2" t="str">
        <f t="shared" si="130"/>
        <v>04</v>
      </c>
      <c r="H2549" s="3">
        <v>785</v>
      </c>
    </row>
    <row r="2550" spans="1:8" x14ac:dyDescent="0.25">
      <c r="A2550" s="2" t="str">
        <f>"00068360"</f>
        <v>00068360</v>
      </c>
      <c r="B2550" s="2" t="str">
        <f t="shared" si="126"/>
        <v>SG</v>
      </c>
      <c r="C2550" s="4" t="s">
        <v>1723</v>
      </c>
      <c r="D2550" s="4" t="s">
        <v>0</v>
      </c>
      <c r="E2550" s="4" t="s">
        <v>12</v>
      </c>
      <c r="F2550" s="2" t="s">
        <v>0</v>
      </c>
      <c r="G2550" s="2" t="str">
        <f>"02"</f>
        <v>02</v>
      </c>
      <c r="H2550" s="3">
        <v>552</v>
      </c>
    </row>
    <row r="2551" spans="1:8" x14ac:dyDescent="0.25">
      <c r="A2551" s="2" t="str">
        <f>"00068362"</f>
        <v>00068362</v>
      </c>
      <c r="B2551" s="2" t="str">
        <f t="shared" si="126"/>
        <v>SG</v>
      </c>
      <c r="C2551" s="4" t="s">
        <v>1723</v>
      </c>
      <c r="D2551" s="4" t="s">
        <v>0</v>
      </c>
      <c r="E2551" s="4" t="s">
        <v>12</v>
      </c>
      <c r="F2551" s="2" t="s">
        <v>0</v>
      </c>
      <c r="G2551" s="2" t="str">
        <f>"02"</f>
        <v>02</v>
      </c>
      <c r="H2551" s="3">
        <v>552</v>
      </c>
    </row>
    <row r="2552" spans="1:8" ht="29.25" x14ac:dyDescent="0.25">
      <c r="A2552" s="2" t="str">
        <f>"00068371"</f>
        <v>00068371</v>
      </c>
      <c r="B2552" s="2" t="str">
        <f t="shared" si="126"/>
        <v>SG</v>
      </c>
      <c r="C2552" s="4" t="s">
        <v>1725</v>
      </c>
      <c r="D2552" s="4" t="s">
        <v>0</v>
      </c>
      <c r="E2552" s="4" t="s">
        <v>1367</v>
      </c>
      <c r="F2552" s="2" t="s">
        <v>0</v>
      </c>
      <c r="G2552" s="2" t="str">
        <f>"02"</f>
        <v>02</v>
      </c>
      <c r="H2552" s="2" t="s">
        <v>16</v>
      </c>
    </row>
    <row r="2553" spans="1:8" x14ac:dyDescent="0.25">
      <c r="A2553" s="2" t="str">
        <f>"00068500"</f>
        <v>00068500</v>
      </c>
      <c r="B2553" s="2" t="str">
        <f t="shared" si="126"/>
        <v>SG</v>
      </c>
      <c r="C2553" s="4" t="s">
        <v>1726</v>
      </c>
      <c r="D2553" s="4" t="s">
        <v>0</v>
      </c>
      <c r="E2553" s="4" t="s">
        <v>12</v>
      </c>
      <c r="F2553" s="2" t="s">
        <v>0</v>
      </c>
      <c r="G2553" s="2" t="str">
        <f>"04"</f>
        <v>04</v>
      </c>
      <c r="H2553" s="3">
        <v>785</v>
      </c>
    </row>
    <row r="2554" spans="1:8" ht="29.25" x14ac:dyDescent="0.25">
      <c r="A2554" s="2" t="str">
        <f>"00068505"</f>
        <v>00068505</v>
      </c>
      <c r="B2554" s="2" t="str">
        <f t="shared" si="126"/>
        <v>SG</v>
      </c>
      <c r="C2554" s="4" t="s">
        <v>1727</v>
      </c>
      <c r="D2554" s="4" t="s">
        <v>0</v>
      </c>
      <c r="E2554" s="4" t="s">
        <v>12</v>
      </c>
      <c r="F2554" s="2" t="s">
        <v>0</v>
      </c>
      <c r="G2554" s="2" t="str">
        <f>"03"</f>
        <v>03</v>
      </c>
      <c r="H2554" s="3">
        <v>637</v>
      </c>
    </row>
    <row r="2555" spans="1:8" x14ac:dyDescent="0.25">
      <c r="A2555" s="2" t="str">
        <f>"00068510"</f>
        <v>00068510</v>
      </c>
      <c r="B2555" s="2" t="str">
        <f t="shared" si="126"/>
        <v>SG</v>
      </c>
      <c r="C2555" s="4" t="s">
        <v>1728</v>
      </c>
      <c r="D2555" s="4" t="s">
        <v>0</v>
      </c>
      <c r="E2555" s="4" t="s">
        <v>12</v>
      </c>
      <c r="F2555" s="2" t="s">
        <v>0</v>
      </c>
      <c r="G2555" s="2" t="str">
        <f>"01"</f>
        <v>01</v>
      </c>
      <c r="H2555" s="3">
        <v>413</v>
      </c>
    </row>
    <row r="2556" spans="1:8" x14ac:dyDescent="0.25">
      <c r="A2556" s="2" t="str">
        <f>"00068520"</f>
        <v>00068520</v>
      </c>
      <c r="B2556" s="2" t="str">
        <f t="shared" si="126"/>
        <v>SG</v>
      </c>
      <c r="C2556" s="4" t="s">
        <v>1729</v>
      </c>
      <c r="D2556" s="4" t="s">
        <v>0</v>
      </c>
      <c r="E2556" s="4" t="s">
        <v>12</v>
      </c>
      <c r="F2556" s="2" t="s">
        <v>0</v>
      </c>
      <c r="G2556" s="2" t="str">
        <f>"03"</f>
        <v>03</v>
      </c>
      <c r="H2556" s="3">
        <v>637</v>
      </c>
    </row>
    <row r="2557" spans="1:8" x14ac:dyDescent="0.25">
      <c r="A2557" s="2" t="str">
        <f>"00068525"</f>
        <v>00068525</v>
      </c>
      <c r="B2557" s="2" t="str">
        <f t="shared" si="126"/>
        <v>SG</v>
      </c>
      <c r="C2557" s="4" t="s">
        <v>1730</v>
      </c>
      <c r="D2557" s="4" t="s">
        <v>0</v>
      </c>
      <c r="E2557" s="4" t="s">
        <v>12</v>
      </c>
      <c r="F2557" s="2" t="s">
        <v>0</v>
      </c>
      <c r="G2557" s="2" t="str">
        <f>"01"</f>
        <v>01</v>
      </c>
      <c r="H2557" s="3">
        <v>413</v>
      </c>
    </row>
    <row r="2558" spans="1:8" ht="29.25" x14ac:dyDescent="0.25">
      <c r="A2558" s="2" t="str">
        <f>"00068540"</f>
        <v>00068540</v>
      </c>
      <c r="B2558" s="2" t="str">
        <f t="shared" si="126"/>
        <v>SG</v>
      </c>
      <c r="C2558" s="4" t="s">
        <v>1731</v>
      </c>
      <c r="D2558" s="4" t="s">
        <v>0</v>
      </c>
      <c r="E2558" s="4" t="s">
        <v>12</v>
      </c>
      <c r="F2558" s="2" t="s">
        <v>0</v>
      </c>
      <c r="G2558" s="2" t="str">
        <f>"03"</f>
        <v>03</v>
      </c>
      <c r="H2558" s="3">
        <v>637</v>
      </c>
    </row>
    <row r="2559" spans="1:8" ht="29.25" x14ac:dyDescent="0.25">
      <c r="A2559" s="2" t="str">
        <f>"00068550"</f>
        <v>00068550</v>
      </c>
      <c r="B2559" s="2" t="str">
        <f t="shared" si="126"/>
        <v>SG</v>
      </c>
      <c r="C2559" s="4" t="s">
        <v>1731</v>
      </c>
      <c r="D2559" s="4" t="s">
        <v>0</v>
      </c>
      <c r="E2559" s="4" t="s">
        <v>12</v>
      </c>
      <c r="F2559" s="2" t="s">
        <v>0</v>
      </c>
      <c r="G2559" s="2" t="str">
        <f>"04"</f>
        <v>04</v>
      </c>
      <c r="H2559" s="3">
        <v>785</v>
      </c>
    </row>
    <row r="2560" spans="1:8" x14ac:dyDescent="0.25">
      <c r="A2560" s="2" t="str">
        <f>"00068700"</f>
        <v>00068700</v>
      </c>
      <c r="B2560" s="2" t="str">
        <f t="shared" si="126"/>
        <v>SG</v>
      </c>
      <c r="C2560" s="4" t="s">
        <v>1732</v>
      </c>
      <c r="D2560" s="4" t="s">
        <v>0</v>
      </c>
      <c r="E2560" s="4" t="s">
        <v>12</v>
      </c>
      <c r="F2560" s="2" t="s">
        <v>0</v>
      </c>
      <c r="G2560" s="2" t="str">
        <f>"02"</f>
        <v>02</v>
      </c>
      <c r="H2560" s="3">
        <v>552</v>
      </c>
    </row>
    <row r="2561" spans="1:8" x14ac:dyDescent="0.25">
      <c r="A2561" s="2" t="str">
        <f>"00068720"</f>
        <v>00068720</v>
      </c>
      <c r="B2561" s="2" t="str">
        <f t="shared" si="126"/>
        <v>SG</v>
      </c>
      <c r="C2561" s="4" t="s">
        <v>1733</v>
      </c>
      <c r="D2561" s="4" t="s">
        <v>0</v>
      </c>
      <c r="E2561" s="4" t="s">
        <v>12</v>
      </c>
      <c r="F2561" s="2" t="s">
        <v>0</v>
      </c>
      <c r="G2561" s="2" t="str">
        <f>"04"</f>
        <v>04</v>
      </c>
      <c r="H2561" s="3">
        <v>785</v>
      </c>
    </row>
    <row r="2562" spans="1:8" x14ac:dyDescent="0.25">
      <c r="A2562" s="2" t="str">
        <f>"00068745"</f>
        <v>00068745</v>
      </c>
      <c r="B2562" s="2" t="str">
        <f t="shared" si="126"/>
        <v>SG</v>
      </c>
      <c r="C2562" s="4" t="s">
        <v>1734</v>
      </c>
      <c r="D2562" s="4" t="s">
        <v>0</v>
      </c>
      <c r="E2562" s="4" t="s">
        <v>12</v>
      </c>
      <c r="F2562" s="2" t="s">
        <v>0</v>
      </c>
      <c r="G2562" s="2" t="str">
        <f>"04"</f>
        <v>04</v>
      </c>
      <c r="H2562" s="3">
        <v>785</v>
      </c>
    </row>
    <row r="2563" spans="1:8" x14ac:dyDescent="0.25">
      <c r="A2563" s="2" t="str">
        <f>"00068750"</f>
        <v>00068750</v>
      </c>
      <c r="B2563" s="2" t="str">
        <f t="shared" si="126"/>
        <v>SG</v>
      </c>
      <c r="C2563" s="4" t="s">
        <v>1734</v>
      </c>
      <c r="D2563" s="4" t="s">
        <v>0</v>
      </c>
      <c r="E2563" s="4" t="s">
        <v>12</v>
      </c>
      <c r="F2563" s="2" t="s">
        <v>0</v>
      </c>
      <c r="G2563" s="2" t="str">
        <f>"04"</f>
        <v>04</v>
      </c>
      <c r="H2563" s="3">
        <v>785</v>
      </c>
    </row>
    <row r="2564" spans="1:8" ht="29.25" x14ac:dyDescent="0.25">
      <c r="A2564" s="2" t="str">
        <f>"00068770"</f>
        <v>00068770</v>
      </c>
      <c r="B2564" s="2" t="str">
        <f t="shared" si="126"/>
        <v>SG</v>
      </c>
      <c r="C2564" s="4" t="s">
        <v>1735</v>
      </c>
      <c r="D2564" s="4" t="s">
        <v>0</v>
      </c>
      <c r="E2564" s="4" t="s">
        <v>12</v>
      </c>
      <c r="F2564" s="2" t="s">
        <v>0</v>
      </c>
      <c r="G2564" s="2" t="str">
        <f>"01"</f>
        <v>01</v>
      </c>
      <c r="H2564" s="3">
        <v>413</v>
      </c>
    </row>
    <row r="2565" spans="1:8" ht="29.25" x14ac:dyDescent="0.25">
      <c r="A2565" s="2" t="str">
        <f>"00068810"</f>
        <v>00068810</v>
      </c>
      <c r="B2565" s="2" t="str">
        <f t="shared" si="126"/>
        <v>SG</v>
      </c>
      <c r="C2565" s="4" t="s">
        <v>1736</v>
      </c>
      <c r="D2565" s="4" t="s">
        <v>0</v>
      </c>
      <c r="E2565" s="4" t="s">
        <v>12</v>
      </c>
      <c r="F2565" s="2" t="s">
        <v>0</v>
      </c>
      <c r="G2565" s="2" t="str">
        <f>"01"</f>
        <v>01</v>
      </c>
      <c r="H2565" s="3">
        <v>413</v>
      </c>
    </row>
    <row r="2566" spans="1:8" ht="29.25" x14ac:dyDescent="0.25">
      <c r="A2566" s="2" t="str">
        <f>"00068811"</f>
        <v>00068811</v>
      </c>
      <c r="B2566" s="2" t="str">
        <f t="shared" si="126"/>
        <v>SG</v>
      </c>
      <c r="C2566" s="4" t="s">
        <v>1736</v>
      </c>
      <c r="D2566" s="4" t="s">
        <v>0</v>
      </c>
      <c r="E2566" s="4" t="s">
        <v>12</v>
      </c>
      <c r="F2566" s="2" t="s">
        <v>0</v>
      </c>
      <c r="G2566" s="2" t="str">
        <f>"02"</f>
        <v>02</v>
      </c>
      <c r="H2566" s="3">
        <v>552</v>
      </c>
    </row>
    <row r="2567" spans="1:8" ht="29.25" x14ac:dyDescent="0.25">
      <c r="A2567" s="2" t="str">
        <f>"00068815"</f>
        <v>00068815</v>
      </c>
      <c r="B2567" s="2" t="str">
        <f t="shared" si="126"/>
        <v>SG</v>
      </c>
      <c r="C2567" s="4" t="s">
        <v>1736</v>
      </c>
      <c r="D2567" s="4" t="s">
        <v>0</v>
      </c>
      <c r="E2567" s="4" t="s">
        <v>12</v>
      </c>
      <c r="F2567" s="2" t="s">
        <v>0</v>
      </c>
      <c r="G2567" s="2" t="str">
        <f>"02"</f>
        <v>02</v>
      </c>
      <c r="H2567" s="3">
        <v>552</v>
      </c>
    </row>
    <row r="2568" spans="1:8" ht="86.25" x14ac:dyDescent="0.25">
      <c r="A2568" s="2" t="str">
        <f>"00068816"</f>
        <v>00068816</v>
      </c>
      <c r="B2568" s="2" t="str">
        <f t="shared" si="126"/>
        <v>SG</v>
      </c>
      <c r="C2568" s="4" t="s">
        <v>1737</v>
      </c>
      <c r="D2568" s="4" t="s">
        <v>0</v>
      </c>
      <c r="E2568" s="4" t="s">
        <v>12</v>
      </c>
      <c r="F2568" s="2" t="s">
        <v>0</v>
      </c>
      <c r="G2568" s="2" t="str">
        <f>"02"</f>
        <v>02</v>
      </c>
      <c r="H2568" s="3">
        <v>552</v>
      </c>
    </row>
    <row r="2569" spans="1:8" ht="29.25" x14ac:dyDescent="0.25">
      <c r="A2569" s="2" t="str">
        <f>"00069110"</f>
        <v>00069110</v>
      </c>
      <c r="B2569" s="2" t="str">
        <f t="shared" si="126"/>
        <v>SG</v>
      </c>
      <c r="C2569" s="4" t="s">
        <v>1738</v>
      </c>
      <c r="D2569" s="4" t="s">
        <v>0</v>
      </c>
      <c r="E2569" s="4" t="s">
        <v>12</v>
      </c>
      <c r="F2569" s="2" t="s">
        <v>0</v>
      </c>
      <c r="G2569" s="2" t="str">
        <f>"01"</f>
        <v>01</v>
      </c>
      <c r="H2569" s="3">
        <v>413</v>
      </c>
    </row>
    <row r="2570" spans="1:8" ht="29.25" x14ac:dyDescent="0.25">
      <c r="A2570" s="2" t="str">
        <f>"00069120"</f>
        <v>00069120</v>
      </c>
      <c r="B2570" s="2" t="str">
        <f t="shared" si="126"/>
        <v>SG</v>
      </c>
      <c r="C2570" s="4" t="s">
        <v>1739</v>
      </c>
      <c r="D2570" s="4" t="s">
        <v>0</v>
      </c>
      <c r="E2570" s="4" t="s">
        <v>12</v>
      </c>
      <c r="F2570" s="2" t="s">
        <v>0</v>
      </c>
      <c r="G2570" s="2" t="str">
        <f>"02"</f>
        <v>02</v>
      </c>
      <c r="H2570" s="3">
        <v>552</v>
      </c>
    </row>
    <row r="2571" spans="1:8" ht="29.25" x14ac:dyDescent="0.25">
      <c r="A2571" s="2" t="str">
        <f>"00069140"</f>
        <v>00069140</v>
      </c>
      <c r="B2571" s="2" t="str">
        <f t="shared" si="126"/>
        <v>SG</v>
      </c>
      <c r="C2571" s="4" t="s">
        <v>1740</v>
      </c>
      <c r="D2571" s="4" t="s">
        <v>0</v>
      </c>
      <c r="E2571" s="4" t="s">
        <v>12</v>
      </c>
      <c r="F2571" s="2" t="s">
        <v>0</v>
      </c>
      <c r="G2571" s="2" t="str">
        <f>"07"</f>
        <v>07</v>
      </c>
      <c r="H2571" s="3">
        <v>1233</v>
      </c>
    </row>
    <row r="2572" spans="1:8" ht="29.25" x14ac:dyDescent="0.25">
      <c r="A2572" s="2" t="str">
        <f>"00069145"</f>
        <v>00069145</v>
      </c>
      <c r="B2572" s="2" t="str">
        <f t="shared" si="126"/>
        <v>SG</v>
      </c>
      <c r="C2572" s="4" t="s">
        <v>1740</v>
      </c>
      <c r="D2572" s="4" t="s">
        <v>0</v>
      </c>
      <c r="E2572" s="4" t="s">
        <v>12</v>
      </c>
      <c r="F2572" s="2" t="s">
        <v>0</v>
      </c>
      <c r="G2572" s="2" t="str">
        <f>"01"</f>
        <v>01</v>
      </c>
      <c r="H2572" s="3">
        <v>413</v>
      </c>
    </row>
    <row r="2573" spans="1:8" ht="29.25" x14ac:dyDescent="0.25">
      <c r="A2573" s="2" t="str">
        <f>"00069150"</f>
        <v>00069150</v>
      </c>
      <c r="B2573" s="2" t="str">
        <f t="shared" ref="B2573:B2626" si="131">"SG"</f>
        <v>SG</v>
      </c>
      <c r="C2573" s="4" t="s">
        <v>1741</v>
      </c>
      <c r="D2573" s="4" t="s">
        <v>0</v>
      </c>
      <c r="E2573" s="4" t="s">
        <v>12</v>
      </c>
      <c r="F2573" s="2" t="s">
        <v>0</v>
      </c>
      <c r="G2573" s="2" t="str">
        <f>"02"</f>
        <v>02</v>
      </c>
      <c r="H2573" s="3">
        <v>552</v>
      </c>
    </row>
    <row r="2574" spans="1:8" x14ac:dyDescent="0.25">
      <c r="A2574" s="2" t="str">
        <f>"00069205"</f>
        <v>00069205</v>
      </c>
      <c r="B2574" s="2" t="str">
        <f t="shared" si="131"/>
        <v>SG</v>
      </c>
      <c r="C2574" s="4" t="s">
        <v>1742</v>
      </c>
      <c r="D2574" s="4" t="s">
        <v>0</v>
      </c>
      <c r="E2574" s="4" t="s">
        <v>12</v>
      </c>
      <c r="F2574" s="2" t="s">
        <v>0</v>
      </c>
      <c r="G2574" s="2" t="str">
        <f>"02"</f>
        <v>02</v>
      </c>
      <c r="H2574" s="3">
        <v>552</v>
      </c>
    </row>
    <row r="2575" spans="1:8" x14ac:dyDescent="0.25">
      <c r="A2575" s="2" t="str">
        <f>"00069300"</f>
        <v>00069300</v>
      </c>
      <c r="B2575" s="2" t="str">
        <f t="shared" si="131"/>
        <v>SG</v>
      </c>
      <c r="C2575" s="4" t="s">
        <v>1743</v>
      </c>
      <c r="D2575" s="4" t="s">
        <v>0</v>
      </c>
      <c r="E2575" s="4" t="s">
        <v>12</v>
      </c>
      <c r="F2575" s="2" t="s">
        <v>0</v>
      </c>
      <c r="G2575" s="2" t="str">
        <f>"03"</f>
        <v>03</v>
      </c>
      <c r="H2575" s="3">
        <v>637</v>
      </c>
    </row>
    <row r="2576" spans="1:8" ht="29.25" x14ac:dyDescent="0.25">
      <c r="A2576" s="2" t="str">
        <f>"00069310"</f>
        <v>00069310</v>
      </c>
      <c r="B2576" s="2" t="str">
        <f t="shared" si="131"/>
        <v>SG</v>
      </c>
      <c r="C2576" s="4" t="s">
        <v>1744</v>
      </c>
      <c r="D2576" s="4" t="s">
        <v>0</v>
      </c>
      <c r="E2576" s="4" t="s">
        <v>12</v>
      </c>
      <c r="F2576" s="2" t="s">
        <v>0</v>
      </c>
      <c r="G2576" s="2" t="str">
        <f>"07"</f>
        <v>07</v>
      </c>
      <c r="H2576" s="3">
        <v>1233</v>
      </c>
    </row>
    <row r="2577" spans="1:8" x14ac:dyDescent="0.25">
      <c r="A2577" s="2" t="str">
        <f>"00069421"</f>
        <v>00069421</v>
      </c>
      <c r="B2577" s="2" t="str">
        <f t="shared" si="131"/>
        <v>SG</v>
      </c>
      <c r="C2577" s="4" t="s">
        <v>1745</v>
      </c>
      <c r="D2577" s="4" t="s">
        <v>0</v>
      </c>
      <c r="E2577" s="4" t="s">
        <v>12</v>
      </c>
      <c r="F2577" s="2" t="s">
        <v>0</v>
      </c>
      <c r="G2577" s="2" t="str">
        <f>"01"</f>
        <v>01</v>
      </c>
      <c r="H2577" s="3">
        <v>413</v>
      </c>
    </row>
    <row r="2578" spans="1:8" ht="29.25" x14ac:dyDescent="0.25">
      <c r="A2578" s="2" t="str">
        <f>"00069436"</f>
        <v>00069436</v>
      </c>
      <c r="B2578" s="2" t="str">
        <f t="shared" si="131"/>
        <v>SG</v>
      </c>
      <c r="C2578" s="4" t="s">
        <v>1746</v>
      </c>
      <c r="D2578" s="4" t="s">
        <v>0</v>
      </c>
      <c r="E2578" s="4" t="s">
        <v>12</v>
      </c>
      <c r="F2578" s="2" t="s">
        <v>0</v>
      </c>
      <c r="G2578" s="2" t="str">
        <f>"01"</f>
        <v>01</v>
      </c>
      <c r="H2578" s="3">
        <v>413</v>
      </c>
    </row>
    <row r="2579" spans="1:8" ht="29.25" x14ac:dyDescent="0.25">
      <c r="A2579" s="2" t="str">
        <f>"00069440"</f>
        <v>00069440</v>
      </c>
      <c r="B2579" s="2" t="str">
        <f t="shared" si="131"/>
        <v>SG</v>
      </c>
      <c r="C2579" s="4" t="s">
        <v>1747</v>
      </c>
      <c r="D2579" s="4" t="s">
        <v>0</v>
      </c>
      <c r="E2579" s="4" t="s">
        <v>12</v>
      </c>
      <c r="F2579" s="2" t="s">
        <v>0</v>
      </c>
      <c r="G2579" s="2" t="str">
        <f t="shared" ref="G2579:G2591" si="132">"07"</f>
        <v>07</v>
      </c>
      <c r="H2579" s="3">
        <v>1233</v>
      </c>
    </row>
    <row r="2580" spans="1:8" x14ac:dyDescent="0.25">
      <c r="A2580" s="2" t="str">
        <f>"00069450"</f>
        <v>00069450</v>
      </c>
      <c r="B2580" s="2" t="str">
        <f t="shared" si="131"/>
        <v>SG</v>
      </c>
      <c r="C2580" s="4" t="s">
        <v>1748</v>
      </c>
      <c r="D2580" s="4" t="s">
        <v>0</v>
      </c>
      <c r="E2580" s="4" t="s">
        <v>12</v>
      </c>
      <c r="F2580" s="2" t="s">
        <v>0</v>
      </c>
      <c r="G2580" s="2" t="str">
        <f t="shared" si="132"/>
        <v>07</v>
      </c>
      <c r="H2580" s="3">
        <v>1233</v>
      </c>
    </row>
    <row r="2581" spans="1:8" x14ac:dyDescent="0.25">
      <c r="A2581" s="2" t="str">
        <f>"00069501"</f>
        <v>00069501</v>
      </c>
      <c r="B2581" s="2" t="str">
        <f t="shared" si="131"/>
        <v>SG</v>
      </c>
      <c r="C2581" s="4" t="s">
        <v>1749</v>
      </c>
      <c r="D2581" s="4" t="s">
        <v>0</v>
      </c>
      <c r="E2581" s="4" t="s">
        <v>12</v>
      </c>
      <c r="F2581" s="2" t="s">
        <v>0</v>
      </c>
      <c r="G2581" s="2" t="str">
        <f t="shared" si="132"/>
        <v>07</v>
      </c>
      <c r="H2581" s="3">
        <v>1233</v>
      </c>
    </row>
    <row r="2582" spans="1:8" x14ac:dyDescent="0.25">
      <c r="A2582" s="2" t="str">
        <f>"00069502"</f>
        <v>00069502</v>
      </c>
      <c r="B2582" s="2" t="str">
        <f t="shared" si="131"/>
        <v>SG</v>
      </c>
      <c r="C2582" s="4" t="s">
        <v>1749</v>
      </c>
      <c r="D2582" s="4" t="s">
        <v>0</v>
      </c>
      <c r="E2582" s="4" t="s">
        <v>12</v>
      </c>
      <c r="F2582" s="2" t="s">
        <v>0</v>
      </c>
      <c r="G2582" s="2" t="str">
        <f t="shared" si="132"/>
        <v>07</v>
      </c>
      <c r="H2582" s="3">
        <v>1233</v>
      </c>
    </row>
    <row r="2583" spans="1:8" ht="29.25" x14ac:dyDescent="0.25">
      <c r="A2583" s="2" t="str">
        <f>"00069505"</f>
        <v>00069505</v>
      </c>
      <c r="B2583" s="2" t="str">
        <f t="shared" si="131"/>
        <v>SG</v>
      </c>
      <c r="C2583" s="4" t="s">
        <v>1750</v>
      </c>
      <c r="D2583" s="4" t="s">
        <v>0</v>
      </c>
      <c r="E2583" s="4" t="s">
        <v>12</v>
      </c>
      <c r="F2583" s="2" t="s">
        <v>0</v>
      </c>
      <c r="G2583" s="2" t="str">
        <f t="shared" si="132"/>
        <v>07</v>
      </c>
      <c r="H2583" s="3">
        <v>1233</v>
      </c>
    </row>
    <row r="2584" spans="1:8" ht="29.25" x14ac:dyDescent="0.25">
      <c r="A2584" s="2" t="str">
        <f>"00069511"</f>
        <v>00069511</v>
      </c>
      <c r="B2584" s="2" t="str">
        <f t="shared" si="131"/>
        <v>SG</v>
      </c>
      <c r="C2584" s="4" t="s">
        <v>1751</v>
      </c>
      <c r="D2584" s="4" t="s">
        <v>0</v>
      </c>
      <c r="E2584" s="4" t="s">
        <v>12</v>
      </c>
      <c r="F2584" s="2" t="s">
        <v>0</v>
      </c>
      <c r="G2584" s="2" t="str">
        <f t="shared" si="132"/>
        <v>07</v>
      </c>
      <c r="H2584" s="3">
        <v>1233</v>
      </c>
    </row>
    <row r="2585" spans="1:8" ht="29.25" x14ac:dyDescent="0.25">
      <c r="A2585" s="2" t="str">
        <f>"00069530"</f>
        <v>00069530</v>
      </c>
      <c r="B2585" s="2" t="str">
        <f t="shared" si="131"/>
        <v>SG</v>
      </c>
      <c r="C2585" s="4" t="s">
        <v>1751</v>
      </c>
      <c r="D2585" s="4" t="s">
        <v>0</v>
      </c>
      <c r="E2585" s="4" t="s">
        <v>12</v>
      </c>
      <c r="F2585" s="2" t="s">
        <v>0</v>
      </c>
      <c r="G2585" s="2" t="str">
        <f t="shared" si="132"/>
        <v>07</v>
      </c>
      <c r="H2585" s="3">
        <v>1233</v>
      </c>
    </row>
    <row r="2586" spans="1:8" x14ac:dyDescent="0.25">
      <c r="A2586" s="2" t="str">
        <f>"00069550"</f>
        <v>00069550</v>
      </c>
      <c r="B2586" s="2" t="str">
        <f t="shared" si="131"/>
        <v>SG</v>
      </c>
      <c r="C2586" s="4" t="s">
        <v>1752</v>
      </c>
      <c r="D2586" s="4" t="s">
        <v>0</v>
      </c>
      <c r="E2586" s="4" t="s">
        <v>12</v>
      </c>
      <c r="F2586" s="2" t="s">
        <v>0</v>
      </c>
      <c r="G2586" s="2" t="str">
        <f t="shared" si="132"/>
        <v>07</v>
      </c>
      <c r="H2586" s="3">
        <v>1233</v>
      </c>
    </row>
    <row r="2587" spans="1:8" x14ac:dyDescent="0.25">
      <c r="A2587" s="2" t="str">
        <f>"00069552"</f>
        <v>00069552</v>
      </c>
      <c r="B2587" s="2" t="str">
        <f t="shared" si="131"/>
        <v>SG</v>
      </c>
      <c r="C2587" s="4" t="s">
        <v>1752</v>
      </c>
      <c r="D2587" s="4" t="s">
        <v>0</v>
      </c>
      <c r="E2587" s="4" t="s">
        <v>12</v>
      </c>
      <c r="F2587" s="2" t="s">
        <v>0</v>
      </c>
      <c r="G2587" s="2" t="str">
        <f t="shared" si="132"/>
        <v>07</v>
      </c>
      <c r="H2587" s="3">
        <v>1233</v>
      </c>
    </row>
    <row r="2588" spans="1:8" ht="29.25" x14ac:dyDescent="0.25">
      <c r="A2588" s="2" t="str">
        <f>"00069601"</f>
        <v>00069601</v>
      </c>
      <c r="B2588" s="2" t="str">
        <f t="shared" si="131"/>
        <v>SG</v>
      </c>
      <c r="C2588" s="4" t="s">
        <v>1753</v>
      </c>
      <c r="D2588" s="4" t="s">
        <v>0</v>
      </c>
      <c r="E2588" s="4" t="s">
        <v>12</v>
      </c>
      <c r="F2588" s="2" t="s">
        <v>0</v>
      </c>
      <c r="G2588" s="2" t="str">
        <f t="shared" si="132"/>
        <v>07</v>
      </c>
      <c r="H2588" s="3">
        <v>1233</v>
      </c>
    </row>
    <row r="2589" spans="1:8" ht="29.25" x14ac:dyDescent="0.25">
      <c r="A2589" s="2" t="str">
        <f>"00069602"</f>
        <v>00069602</v>
      </c>
      <c r="B2589" s="2" t="str">
        <f t="shared" si="131"/>
        <v>SG</v>
      </c>
      <c r="C2589" s="4" t="s">
        <v>1753</v>
      </c>
      <c r="D2589" s="4" t="s">
        <v>0</v>
      </c>
      <c r="E2589" s="4" t="s">
        <v>12</v>
      </c>
      <c r="F2589" s="2" t="s">
        <v>0</v>
      </c>
      <c r="G2589" s="2" t="str">
        <f t="shared" si="132"/>
        <v>07</v>
      </c>
      <c r="H2589" s="3">
        <v>1233</v>
      </c>
    </row>
    <row r="2590" spans="1:8" ht="29.25" x14ac:dyDescent="0.25">
      <c r="A2590" s="2" t="str">
        <f>"00069603"</f>
        <v>00069603</v>
      </c>
      <c r="B2590" s="2" t="str">
        <f t="shared" si="131"/>
        <v>SG</v>
      </c>
      <c r="C2590" s="4" t="s">
        <v>1753</v>
      </c>
      <c r="D2590" s="4" t="s">
        <v>0</v>
      </c>
      <c r="E2590" s="4" t="s">
        <v>12</v>
      </c>
      <c r="F2590" s="2" t="s">
        <v>0</v>
      </c>
      <c r="G2590" s="2" t="str">
        <f t="shared" si="132"/>
        <v>07</v>
      </c>
      <c r="H2590" s="3">
        <v>1233</v>
      </c>
    </row>
    <row r="2591" spans="1:8" ht="29.25" x14ac:dyDescent="0.25">
      <c r="A2591" s="2" t="str">
        <f>"00069604"</f>
        <v>00069604</v>
      </c>
      <c r="B2591" s="2" t="str">
        <f t="shared" si="131"/>
        <v>SG</v>
      </c>
      <c r="C2591" s="4" t="s">
        <v>1753</v>
      </c>
      <c r="D2591" s="4" t="s">
        <v>0</v>
      </c>
      <c r="E2591" s="4" t="s">
        <v>12</v>
      </c>
      <c r="F2591" s="2" t="s">
        <v>0</v>
      </c>
      <c r="G2591" s="2" t="str">
        <f t="shared" si="132"/>
        <v>07</v>
      </c>
      <c r="H2591" s="3">
        <v>1233</v>
      </c>
    </row>
    <row r="2592" spans="1:8" ht="86.25" x14ac:dyDescent="0.25">
      <c r="A2592" s="2" t="str">
        <f>"00069610"</f>
        <v>00069610</v>
      </c>
      <c r="B2592" s="2" t="str">
        <f t="shared" si="131"/>
        <v>SG</v>
      </c>
      <c r="C2592" s="4" t="s">
        <v>1754</v>
      </c>
      <c r="D2592" s="4" t="s">
        <v>0</v>
      </c>
      <c r="E2592" s="4" t="s">
        <v>12</v>
      </c>
      <c r="F2592" s="2" t="s">
        <v>0</v>
      </c>
      <c r="G2592" s="2" t="str">
        <f>"01"</f>
        <v>01</v>
      </c>
      <c r="H2592" s="3">
        <v>413</v>
      </c>
    </row>
    <row r="2593" spans="1:8" x14ac:dyDescent="0.25">
      <c r="A2593" s="2" t="str">
        <f>"00069620"</f>
        <v>00069620</v>
      </c>
      <c r="B2593" s="2" t="str">
        <f t="shared" si="131"/>
        <v>SG</v>
      </c>
      <c r="C2593" s="4" t="s">
        <v>1755</v>
      </c>
      <c r="D2593" s="4" t="s">
        <v>0</v>
      </c>
      <c r="E2593" s="4" t="s">
        <v>12</v>
      </c>
      <c r="F2593" s="2" t="s">
        <v>0</v>
      </c>
      <c r="G2593" s="2" t="str">
        <f>"02"</f>
        <v>02</v>
      </c>
      <c r="H2593" s="3">
        <v>552</v>
      </c>
    </row>
    <row r="2594" spans="1:8" ht="29.25" x14ac:dyDescent="0.25">
      <c r="A2594" s="2" t="str">
        <f>"00069631"</f>
        <v>00069631</v>
      </c>
      <c r="B2594" s="2" t="str">
        <f t="shared" si="131"/>
        <v>SG</v>
      </c>
      <c r="C2594" s="4" t="s">
        <v>1756</v>
      </c>
      <c r="D2594" s="4" t="s">
        <v>0</v>
      </c>
      <c r="E2594" s="4" t="s">
        <v>12</v>
      </c>
      <c r="F2594" s="2" t="s">
        <v>0</v>
      </c>
      <c r="G2594" s="2" t="str">
        <f t="shared" ref="G2594:G2609" si="133">"07"</f>
        <v>07</v>
      </c>
      <c r="H2594" s="3">
        <v>1233</v>
      </c>
    </row>
    <row r="2595" spans="1:8" ht="29.25" x14ac:dyDescent="0.25">
      <c r="A2595" s="2" t="str">
        <f>"00069632"</f>
        <v>00069632</v>
      </c>
      <c r="B2595" s="2" t="str">
        <f t="shared" si="131"/>
        <v>SG</v>
      </c>
      <c r="C2595" s="4" t="s">
        <v>1757</v>
      </c>
      <c r="D2595" s="4" t="s">
        <v>0</v>
      </c>
      <c r="E2595" s="4" t="s">
        <v>12</v>
      </c>
      <c r="F2595" s="2" t="s">
        <v>0</v>
      </c>
      <c r="G2595" s="2" t="str">
        <f t="shared" si="133"/>
        <v>07</v>
      </c>
      <c r="H2595" s="3">
        <v>1233</v>
      </c>
    </row>
    <row r="2596" spans="1:8" ht="29.25" x14ac:dyDescent="0.25">
      <c r="A2596" s="2" t="str">
        <f>"00069633"</f>
        <v>00069633</v>
      </c>
      <c r="B2596" s="2" t="str">
        <f t="shared" si="131"/>
        <v>SG</v>
      </c>
      <c r="C2596" s="4" t="s">
        <v>1757</v>
      </c>
      <c r="D2596" s="4" t="s">
        <v>0</v>
      </c>
      <c r="E2596" s="4" t="s">
        <v>12</v>
      </c>
      <c r="F2596" s="2" t="s">
        <v>0</v>
      </c>
      <c r="G2596" s="2" t="str">
        <f t="shared" si="133"/>
        <v>07</v>
      </c>
      <c r="H2596" s="3">
        <v>1233</v>
      </c>
    </row>
    <row r="2597" spans="1:8" ht="29.25" x14ac:dyDescent="0.25">
      <c r="A2597" s="2" t="str">
        <f>"00069635"</f>
        <v>00069635</v>
      </c>
      <c r="B2597" s="2" t="str">
        <f t="shared" si="131"/>
        <v>SG</v>
      </c>
      <c r="C2597" s="4" t="s">
        <v>1756</v>
      </c>
      <c r="D2597" s="4" t="s">
        <v>0</v>
      </c>
      <c r="E2597" s="4" t="s">
        <v>12</v>
      </c>
      <c r="F2597" s="2" t="s">
        <v>0</v>
      </c>
      <c r="G2597" s="2" t="str">
        <f t="shared" si="133"/>
        <v>07</v>
      </c>
      <c r="H2597" s="3">
        <v>1233</v>
      </c>
    </row>
    <row r="2598" spans="1:8" ht="29.25" x14ac:dyDescent="0.25">
      <c r="A2598" s="2" t="str">
        <f>"00069636"</f>
        <v>00069636</v>
      </c>
      <c r="B2598" s="2" t="str">
        <f t="shared" si="131"/>
        <v>SG</v>
      </c>
      <c r="C2598" s="4" t="s">
        <v>1757</v>
      </c>
      <c r="D2598" s="4" t="s">
        <v>0</v>
      </c>
      <c r="E2598" s="4" t="s">
        <v>12</v>
      </c>
      <c r="F2598" s="2" t="s">
        <v>0</v>
      </c>
      <c r="G2598" s="2" t="str">
        <f t="shared" si="133"/>
        <v>07</v>
      </c>
      <c r="H2598" s="3">
        <v>1233</v>
      </c>
    </row>
    <row r="2599" spans="1:8" ht="29.25" x14ac:dyDescent="0.25">
      <c r="A2599" s="2" t="str">
        <f>"00069637"</f>
        <v>00069637</v>
      </c>
      <c r="B2599" s="2" t="str">
        <f t="shared" si="131"/>
        <v>SG</v>
      </c>
      <c r="C2599" s="4" t="s">
        <v>1757</v>
      </c>
      <c r="D2599" s="4" t="s">
        <v>0</v>
      </c>
      <c r="E2599" s="4" t="s">
        <v>12</v>
      </c>
      <c r="F2599" s="2" t="s">
        <v>0</v>
      </c>
      <c r="G2599" s="2" t="str">
        <f t="shared" si="133"/>
        <v>07</v>
      </c>
      <c r="H2599" s="3">
        <v>1233</v>
      </c>
    </row>
    <row r="2600" spans="1:8" ht="29.25" x14ac:dyDescent="0.25">
      <c r="A2600" s="2" t="str">
        <f>"00069641"</f>
        <v>00069641</v>
      </c>
      <c r="B2600" s="2" t="str">
        <f t="shared" si="131"/>
        <v>SG</v>
      </c>
      <c r="C2600" s="4" t="s">
        <v>1758</v>
      </c>
      <c r="D2600" s="4" t="s">
        <v>0</v>
      </c>
      <c r="E2600" s="4" t="s">
        <v>12</v>
      </c>
      <c r="F2600" s="2" t="s">
        <v>0</v>
      </c>
      <c r="G2600" s="2" t="str">
        <f t="shared" si="133"/>
        <v>07</v>
      </c>
      <c r="H2600" s="3">
        <v>1233</v>
      </c>
    </row>
    <row r="2601" spans="1:8" ht="29.25" x14ac:dyDescent="0.25">
      <c r="A2601" s="2" t="str">
        <f>"00069642"</f>
        <v>00069642</v>
      </c>
      <c r="B2601" s="2" t="str">
        <f t="shared" si="131"/>
        <v>SG</v>
      </c>
      <c r="C2601" s="4" t="s">
        <v>1758</v>
      </c>
      <c r="D2601" s="4" t="s">
        <v>0</v>
      </c>
      <c r="E2601" s="4" t="s">
        <v>12</v>
      </c>
      <c r="F2601" s="2" t="s">
        <v>0</v>
      </c>
      <c r="G2601" s="2" t="str">
        <f t="shared" si="133"/>
        <v>07</v>
      </c>
      <c r="H2601" s="3">
        <v>1233</v>
      </c>
    </row>
    <row r="2602" spans="1:8" ht="29.25" x14ac:dyDescent="0.25">
      <c r="A2602" s="2" t="str">
        <f>"00069643"</f>
        <v>00069643</v>
      </c>
      <c r="B2602" s="2" t="str">
        <f t="shared" si="131"/>
        <v>SG</v>
      </c>
      <c r="C2602" s="4" t="s">
        <v>1758</v>
      </c>
      <c r="D2602" s="4" t="s">
        <v>0</v>
      </c>
      <c r="E2602" s="4" t="s">
        <v>12</v>
      </c>
      <c r="F2602" s="2" t="s">
        <v>0</v>
      </c>
      <c r="G2602" s="2" t="str">
        <f t="shared" si="133"/>
        <v>07</v>
      </c>
      <c r="H2602" s="3">
        <v>1233</v>
      </c>
    </row>
    <row r="2603" spans="1:8" ht="29.25" x14ac:dyDescent="0.25">
      <c r="A2603" s="2" t="str">
        <f>"00069644"</f>
        <v>00069644</v>
      </c>
      <c r="B2603" s="2" t="str">
        <f t="shared" si="131"/>
        <v>SG</v>
      </c>
      <c r="C2603" s="4" t="s">
        <v>1758</v>
      </c>
      <c r="D2603" s="4" t="s">
        <v>0</v>
      </c>
      <c r="E2603" s="4" t="s">
        <v>12</v>
      </c>
      <c r="F2603" s="2" t="s">
        <v>0</v>
      </c>
      <c r="G2603" s="2" t="str">
        <f t="shared" si="133"/>
        <v>07</v>
      </c>
      <c r="H2603" s="3">
        <v>1233</v>
      </c>
    </row>
    <row r="2604" spans="1:8" ht="29.25" x14ac:dyDescent="0.25">
      <c r="A2604" s="2" t="str">
        <f>"00069645"</f>
        <v>00069645</v>
      </c>
      <c r="B2604" s="2" t="str">
        <f t="shared" si="131"/>
        <v>SG</v>
      </c>
      <c r="C2604" s="4" t="s">
        <v>1758</v>
      </c>
      <c r="D2604" s="4" t="s">
        <v>0</v>
      </c>
      <c r="E2604" s="4" t="s">
        <v>12</v>
      </c>
      <c r="F2604" s="2" t="s">
        <v>0</v>
      </c>
      <c r="G2604" s="2" t="str">
        <f t="shared" si="133"/>
        <v>07</v>
      </c>
      <c r="H2604" s="3">
        <v>1233</v>
      </c>
    </row>
    <row r="2605" spans="1:8" ht="29.25" x14ac:dyDescent="0.25">
      <c r="A2605" s="2" t="str">
        <f>"00069646"</f>
        <v>00069646</v>
      </c>
      <c r="B2605" s="2" t="str">
        <f t="shared" si="131"/>
        <v>SG</v>
      </c>
      <c r="C2605" s="4" t="s">
        <v>1758</v>
      </c>
      <c r="D2605" s="4" t="s">
        <v>0</v>
      </c>
      <c r="E2605" s="4" t="s">
        <v>12</v>
      </c>
      <c r="F2605" s="2" t="s">
        <v>0</v>
      </c>
      <c r="G2605" s="2" t="str">
        <f t="shared" si="133"/>
        <v>07</v>
      </c>
      <c r="H2605" s="3">
        <v>1233</v>
      </c>
    </row>
    <row r="2606" spans="1:8" ht="29.25" x14ac:dyDescent="0.25">
      <c r="A2606" s="2" t="str">
        <f>"00069650"</f>
        <v>00069650</v>
      </c>
      <c r="B2606" s="2" t="str">
        <f t="shared" si="131"/>
        <v>SG</v>
      </c>
      <c r="C2606" s="4" t="s">
        <v>1759</v>
      </c>
      <c r="D2606" s="4" t="s">
        <v>0</v>
      </c>
      <c r="E2606" s="4" t="s">
        <v>12</v>
      </c>
      <c r="F2606" s="2" t="s">
        <v>0</v>
      </c>
      <c r="G2606" s="2" t="str">
        <f t="shared" si="133"/>
        <v>07</v>
      </c>
      <c r="H2606" s="3">
        <v>1233</v>
      </c>
    </row>
    <row r="2607" spans="1:8" x14ac:dyDescent="0.25">
      <c r="A2607" s="2" t="str">
        <f>"00069660"</f>
        <v>00069660</v>
      </c>
      <c r="B2607" s="2" t="str">
        <f t="shared" si="131"/>
        <v>SG</v>
      </c>
      <c r="C2607" s="4" t="s">
        <v>1760</v>
      </c>
      <c r="D2607" s="4" t="s">
        <v>0</v>
      </c>
      <c r="E2607" s="4" t="s">
        <v>12</v>
      </c>
      <c r="F2607" s="2" t="s">
        <v>0</v>
      </c>
      <c r="G2607" s="2" t="str">
        <f t="shared" si="133"/>
        <v>07</v>
      </c>
      <c r="H2607" s="3">
        <v>1233</v>
      </c>
    </row>
    <row r="2608" spans="1:8" x14ac:dyDescent="0.25">
      <c r="A2608" s="2" t="str">
        <f>"00069661"</f>
        <v>00069661</v>
      </c>
      <c r="B2608" s="2" t="str">
        <f t="shared" si="131"/>
        <v>SG</v>
      </c>
      <c r="C2608" s="4" t="s">
        <v>1760</v>
      </c>
      <c r="D2608" s="4" t="s">
        <v>0</v>
      </c>
      <c r="E2608" s="4" t="s">
        <v>12</v>
      </c>
      <c r="F2608" s="2" t="s">
        <v>0</v>
      </c>
      <c r="G2608" s="2" t="str">
        <f t="shared" si="133"/>
        <v>07</v>
      </c>
      <c r="H2608" s="3">
        <v>1233</v>
      </c>
    </row>
    <row r="2609" spans="1:8" x14ac:dyDescent="0.25">
      <c r="A2609" s="2" t="str">
        <f>"00069662"</f>
        <v>00069662</v>
      </c>
      <c r="B2609" s="2" t="str">
        <f t="shared" si="131"/>
        <v>SG</v>
      </c>
      <c r="C2609" s="4" t="s">
        <v>1760</v>
      </c>
      <c r="D2609" s="4" t="s">
        <v>0</v>
      </c>
      <c r="E2609" s="4" t="s">
        <v>12</v>
      </c>
      <c r="F2609" s="2" t="s">
        <v>0</v>
      </c>
      <c r="G2609" s="2" t="str">
        <f t="shared" si="133"/>
        <v>07</v>
      </c>
      <c r="H2609" s="3">
        <v>1233</v>
      </c>
    </row>
    <row r="2610" spans="1:8" ht="29.25" x14ac:dyDescent="0.25">
      <c r="A2610" s="2" t="str">
        <f>"00069666"</f>
        <v>00069666</v>
      </c>
      <c r="B2610" s="2" t="str">
        <f t="shared" si="131"/>
        <v>SG</v>
      </c>
      <c r="C2610" s="4" t="s">
        <v>1761</v>
      </c>
      <c r="D2610" s="4" t="s">
        <v>0</v>
      </c>
      <c r="E2610" s="4" t="s">
        <v>12</v>
      </c>
      <c r="F2610" s="2" t="s">
        <v>0</v>
      </c>
      <c r="G2610" s="2" t="str">
        <f>"02"</f>
        <v>02</v>
      </c>
      <c r="H2610" s="3">
        <v>552</v>
      </c>
    </row>
    <row r="2611" spans="1:8" ht="29.25" x14ac:dyDescent="0.25">
      <c r="A2611" s="2" t="str">
        <f>"00069667"</f>
        <v>00069667</v>
      </c>
      <c r="B2611" s="2" t="str">
        <f t="shared" si="131"/>
        <v>SG</v>
      </c>
      <c r="C2611" s="4" t="s">
        <v>1761</v>
      </c>
      <c r="D2611" s="4" t="s">
        <v>0</v>
      </c>
      <c r="E2611" s="4" t="s">
        <v>12</v>
      </c>
      <c r="F2611" s="2" t="s">
        <v>0</v>
      </c>
      <c r="G2611" s="2" t="str">
        <f>"02"</f>
        <v>02</v>
      </c>
      <c r="H2611" s="3">
        <v>552</v>
      </c>
    </row>
    <row r="2612" spans="1:8" ht="29.25" x14ac:dyDescent="0.25">
      <c r="A2612" s="2" t="str">
        <f>"00069670"</f>
        <v>00069670</v>
      </c>
      <c r="B2612" s="2" t="str">
        <f t="shared" si="131"/>
        <v>SG</v>
      </c>
      <c r="C2612" s="4" t="s">
        <v>1762</v>
      </c>
      <c r="D2612" s="4" t="s">
        <v>0</v>
      </c>
      <c r="E2612" s="4" t="s">
        <v>12</v>
      </c>
      <c r="F2612" s="2" t="s">
        <v>0</v>
      </c>
      <c r="G2612" s="2" t="str">
        <f>"07"</f>
        <v>07</v>
      </c>
      <c r="H2612" s="3">
        <v>1233</v>
      </c>
    </row>
    <row r="2613" spans="1:8" ht="29.25" x14ac:dyDescent="0.25">
      <c r="A2613" s="2" t="str">
        <f>"00069676"</f>
        <v>00069676</v>
      </c>
      <c r="B2613" s="2" t="str">
        <f t="shared" si="131"/>
        <v>SG</v>
      </c>
      <c r="C2613" s="4" t="s">
        <v>1763</v>
      </c>
      <c r="D2613" s="4" t="s">
        <v>0</v>
      </c>
      <c r="E2613" s="4" t="s">
        <v>12</v>
      </c>
      <c r="F2613" s="2" t="s">
        <v>0</v>
      </c>
      <c r="G2613" s="2" t="str">
        <f>"02"</f>
        <v>02</v>
      </c>
      <c r="H2613" s="3">
        <v>552</v>
      </c>
    </row>
    <row r="2614" spans="1:8" x14ac:dyDescent="0.25">
      <c r="A2614" s="2" t="str">
        <f>"00069700"</f>
        <v>00069700</v>
      </c>
      <c r="B2614" s="2" t="str">
        <f t="shared" si="131"/>
        <v>SG</v>
      </c>
      <c r="C2614" s="4" t="s">
        <v>1764</v>
      </c>
      <c r="D2614" s="4" t="s">
        <v>0</v>
      </c>
      <c r="E2614" s="4" t="s">
        <v>12</v>
      </c>
      <c r="F2614" s="2" t="s">
        <v>0</v>
      </c>
      <c r="G2614" s="2" t="str">
        <f>"02"</f>
        <v>02</v>
      </c>
      <c r="H2614" s="3">
        <v>552</v>
      </c>
    </row>
    <row r="2615" spans="1:8" ht="29.25" x14ac:dyDescent="0.25">
      <c r="A2615" s="2" t="str">
        <f>"00069711"</f>
        <v>00069711</v>
      </c>
      <c r="B2615" s="2" t="str">
        <f t="shared" si="131"/>
        <v>SG</v>
      </c>
      <c r="C2615" s="4" t="s">
        <v>1765</v>
      </c>
      <c r="D2615" s="4" t="s">
        <v>0</v>
      </c>
      <c r="E2615" s="4" t="s">
        <v>12</v>
      </c>
      <c r="F2615" s="2" t="s">
        <v>0</v>
      </c>
      <c r="G2615" s="2" t="str">
        <f>"07"</f>
        <v>07</v>
      </c>
      <c r="H2615" s="3">
        <v>1233</v>
      </c>
    </row>
    <row r="2616" spans="1:8" ht="29.25" x14ac:dyDescent="0.25">
      <c r="A2616" s="2" t="str">
        <f>"00069714"</f>
        <v>00069714</v>
      </c>
      <c r="B2616" s="2" t="str">
        <f t="shared" si="131"/>
        <v>SG</v>
      </c>
      <c r="C2616" s="4" t="s">
        <v>1766</v>
      </c>
      <c r="D2616" s="4" t="s">
        <v>0</v>
      </c>
      <c r="E2616" s="4" t="s">
        <v>12</v>
      </c>
      <c r="F2616" s="2" t="s">
        <v>0</v>
      </c>
      <c r="G2616" s="2" t="str">
        <f>"09"</f>
        <v>09</v>
      </c>
      <c r="H2616" s="3">
        <v>1662</v>
      </c>
    </row>
    <row r="2617" spans="1:8" ht="29.25" x14ac:dyDescent="0.25">
      <c r="A2617" s="2" t="str">
        <f>"00069717"</f>
        <v>00069717</v>
      </c>
      <c r="B2617" s="2" t="str">
        <f t="shared" si="131"/>
        <v>SG</v>
      </c>
      <c r="C2617" s="4" t="s">
        <v>1767</v>
      </c>
      <c r="D2617" s="4" t="s">
        <v>0</v>
      </c>
      <c r="E2617" s="4" t="s">
        <v>12</v>
      </c>
      <c r="F2617" s="2" t="s">
        <v>0</v>
      </c>
      <c r="G2617" s="2" t="str">
        <f>"06"</f>
        <v>06</v>
      </c>
      <c r="H2617" s="3">
        <v>1000</v>
      </c>
    </row>
    <row r="2618" spans="1:8" x14ac:dyDescent="0.25">
      <c r="A2618" s="2" t="str">
        <f>"00069720"</f>
        <v>00069720</v>
      </c>
      <c r="B2618" s="2" t="str">
        <f t="shared" si="131"/>
        <v>SG</v>
      </c>
      <c r="C2618" s="4" t="s">
        <v>1768</v>
      </c>
      <c r="D2618" s="4" t="s">
        <v>0</v>
      </c>
      <c r="E2618" s="4" t="s">
        <v>12</v>
      </c>
      <c r="F2618" s="2" t="s">
        <v>0</v>
      </c>
      <c r="G2618" s="2" t="str">
        <f>"07"</f>
        <v>07</v>
      </c>
      <c r="H2618" s="3">
        <v>1233</v>
      </c>
    </row>
    <row r="2619" spans="1:8" x14ac:dyDescent="0.25">
      <c r="A2619" s="2" t="str">
        <f>"00069740"</f>
        <v>00069740</v>
      </c>
      <c r="B2619" s="2" t="str">
        <f t="shared" si="131"/>
        <v>SG</v>
      </c>
      <c r="C2619" s="4" t="s">
        <v>1769</v>
      </c>
      <c r="D2619" s="4" t="s">
        <v>0</v>
      </c>
      <c r="E2619" s="4" t="s">
        <v>12</v>
      </c>
      <c r="F2619" s="2" t="s">
        <v>0</v>
      </c>
      <c r="G2619" s="2" t="str">
        <f>"07"</f>
        <v>07</v>
      </c>
      <c r="H2619" s="3">
        <v>1233</v>
      </c>
    </row>
    <row r="2620" spans="1:8" x14ac:dyDescent="0.25">
      <c r="A2620" s="2" t="str">
        <f>"00069745"</f>
        <v>00069745</v>
      </c>
      <c r="B2620" s="2" t="str">
        <f t="shared" si="131"/>
        <v>SG</v>
      </c>
      <c r="C2620" s="4" t="s">
        <v>1769</v>
      </c>
      <c r="D2620" s="4" t="s">
        <v>0</v>
      </c>
      <c r="E2620" s="4" t="s">
        <v>12</v>
      </c>
      <c r="F2620" s="2" t="s">
        <v>0</v>
      </c>
      <c r="G2620" s="2" t="str">
        <f>"05"</f>
        <v>05</v>
      </c>
      <c r="H2620" s="3">
        <v>891</v>
      </c>
    </row>
    <row r="2621" spans="1:8" x14ac:dyDescent="0.25">
      <c r="A2621" s="2" t="str">
        <f>"00069801"</f>
        <v>00069801</v>
      </c>
      <c r="B2621" s="2" t="str">
        <f t="shared" si="131"/>
        <v>SG</v>
      </c>
      <c r="C2621" s="4" t="s">
        <v>1770</v>
      </c>
      <c r="D2621" s="4" t="s">
        <v>0</v>
      </c>
      <c r="E2621" s="4" t="s">
        <v>12</v>
      </c>
      <c r="F2621" s="2" t="s">
        <v>0</v>
      </c>
      <c r="G2621" s="2" t="str">
        <f>"01"</f>
        <v>01</v>
      </c>
      <c r="H2621" s="3">
        <v>413</v>
      </c>
    </row>
    <row r="2622" spans="1:8" x14ac:dyDescent="0.25">
      <c r="A2622" s="2" t="str">
        <f>"00069805"</f>
        <v>00069805</v>
      </c>
      <c r="B2622" s="2" t="str">
        <f t="shared" si="131"/>
        <v>SG</v>
      </c>
      <c r="C2622" s="4" t="s">
        <v>1771</v>
      </c>
      <c r="D2622" s="4" t="s">
        <v>0</v>
      </c>
      <c r="E2622" s="4" t="s">
        <v>12</v>
      </c>
      <c r="F2622" s="2" t="s">
        <v>0</v>
      </c>
      <c r="G2622" s="2" t="str">
        <f>"07"</f>
        <v>07</v>
      </c>
      <c r="H2622" s="3">
        <v>1233</v>
      </c>
    </row>
    <row r="2623" spans="1:8" x14ac:dyDescent="0.25">
      <c r="A2623" s="2" t="str">
        <f>"00069905"</f>
        <v>00069905</v>
      </c>
      <c r="B2623" s="2" t="str">
        <f t="shared" si="131"/>
        <v>SG</v>
      </c>
      <c r="C2623" s="4" t="s">
        <v>1772</v>
      </c>
      <c r="D2623" s="4" t="s">
        <v>0</v>
      </c>
      <c r="E2623" s="4" t="s">
        <v>12</v>
      </c>
      <c r="F2623" s="2" t="s">
        <v>0</v>
      </c>
      <c r="G2623" s="2" t="str">
        <f>"07"</f>
        <v>07</v>
      </c>
      <c r="H2623" s="3">
        <v>1233</v>
      </c>
    </row>
    <row r="2624" spans="1:8" ht="29.25" x14ac:dyDescent="0.25">
      <c r="A2624" s="2" t="str">
        <f>"00069910"</f>
        <v>00069910</v>
      </c>
      <c r="B2624" s="2" t="str">
        <f t="shared" si="131"/>
        <v>SG</v>
      </c>
      <c r="C2624" s="4" t="s">
        <v>1773</v>
      </c>
      <c r="D2624" s="4" t="s">
        <v>0</v>
      </c>
      <c r="E2624" s="4" t="s">
        <v>12</v>
      </c>
      <c r="F2624" s="2" t="s">
        <v>0</v>
      </c>
      <c r="G2624" s="2" t="str">
        <f>"07"</f>
        <v>07</v>
      </c>
      <c r="H2624" s="3">
        <v>1233</v>
      </c>
    </row>
    <row r="2625" spans="1:8" x14ac:dyDescent="0.25">
      <c r="A2625" s="2" t="str">
        <f>"00069915"</f>
        <v>00069915</v>
      </c>
      <c r="B2625" s="2" t="str">
        <f t="shared" si="131"/>
        <v>SG</v>
      </c>
      <c r="C2625" s="4" t="s">
        <v>1774</v>
      </c>
      <c r="D2625" s="4" t="s">
        <v>0</v>
      </c>
      <c r="E2625" s="4" t="s">
        <v>12</v>
      </c>
      <c r="F2625" s="2" t="s">
        <v>0</v>
      </c>
      <c r="G2625" s="2" t="str">
        <f>"07"</f>
        <v>07</v>
      </c>
      <c r="H2625" s="3">
        <v>1233</v>
      </c>
    </row>
    <row r="2626" spans="1:8" ht="29.25" x14ac:dyDescent="0.25">
      <c r="A2626" s="2" t="str">
        <f>"00069930"</f>
        <v>00069930</v>
      </c>
      <c r="B2626" s="2" t="str">
        <f t="shared" si="131"/>
        <v>SG</v>
      </c>
      <c r="C2626" s="4" t="s">
        <v>1775</v>
      </c>
      <c r="D2626" s="4" t="s">
        <v>0</v>
      </c>
      <c r="E2626" s="4" t="s">
        <v>12</v>
      </c>
      <c r="F2626" s="2" t="s">
        <v>0</v>
      </c>
      <c r="G2626" s="2" t="str">
        <f>"09"</f>
        <v>09</v>
      </c>
      <c r="H2626" s="3">
        <v>1662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c46629a37940c5473e9aac1c51c8d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4e166a30475e6ff389cad8cfb98ea8ff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2023-07-01T05:00:00+00:00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Ambulatory Surgery Center Rates</Fee_x0020_Schedule>
    <DHHSInternetWCP xmlns="32249c65-da49-47e9-984a-f0159a6f027c"/>
    <Effective_x0020_Date xmlns="76d38050-7b15-4892-beee-6b8430b169cf">2023-07-01T05:00:00+00:00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2723F95-18BD-4A68-8D3C-CFA6281BEB5E}"/>
</file>

<file path=customXml/itemProps2.xml><?xml version="1.0" encoding="utf-8"?>
<ds:datastoreItem xmlns:ds="http://schemas.openxmlformats.org/officeDocument/2006/customXml" ds:itemID="{FDBF3311-5F94-4EAF-9D46-0523D4534A93}"/>
</file>

<file path=customXml/itemProps3.xml><?xml version="1.0" encoding="utf-8"?>
<ds:datastoreItem xmlns:ds="http://schemas.openxmlformats.org/officeDocument/2006/customXml" ds:itemID="{A08EAB62-572C-4093-872D-362A07DDA4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01_202308221542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2023-08-22T20:52:48Z</dcterms:created>
  <dcterms:modified xsi:type="dcterms:W3CDTF">2023-09-08T13:23:17Z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-1424444666</vt:i4>
  </property>
  <property fmtid="{D5CDD505-2E9C-101B-9397-08002B2CF9AE}" pid="3" name="_NewReviewCycle">
    <vt:lpwstr/>
  </property>
  <property fmtid="{D5CDD505-2E9C-101B-9397-08002B2CF9AE}" pid="4" name="_EmailSubject">
    <vt:lpwstr>REVISED 7/1/2023 ASC FS </vt:lpwstr>
  </property>
  <property fmtid="{D5CDD505-2E9C-101B-9397-08002B2CF9AE}" pid="5" name="_AuthorEmail">
    <vt:lpwstr>Suzanne.Hart@nebraska.gov</vt:lpwstr>
  </property>
  <property fmtid="{D5CDD505-2E9C-101B-9397-08002B2CF9AE}" pid="6" name="_AuthorEmailDisplayName">
    <vt:lpwstr>Hart, Suzanne</vt:lpwstr>
  </property>
  <property fmtid="{D5CDD505-2E9C-101B-9397-08002B2CF9AE}" pid="7" name="_PreviousAdHocReviewCycleID">
    <vt:i4>672244689</vt:i4>
  </property>
  <property fmtid="{D5CDD505-2E9C-101B-9397-08002B2CF9AE}" pid="8" name="ContentTypeId">
    <vt:lpwstr>0x010100BAD75EA75CD83B45A34259F0B184D02700B2BE04684DDCC34FB28F0EBF3824ECD7</vt:lpwstr>
  </property>
  <property fmtid="{D5CDD505-2E9C-101B-9397-08002B2CF9AE}" pid="9" name="Order">
    <vt:r8>58500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ComplianceAssetId">
    <vt:lpwstr/>
  </property>
</Properties>
</file>